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UGAS KULIAH\Skripsi\SIDANG\"/>
    </mc:Choice>
  </mc:AlternateContent>
  <xr:revisionPtr revIDLastSave="0" documentId="13_ncr:1_{D1D7CFE1-7425-41A1-BB0F-0F27172637F0}" xr6:coauthVersionLast="47" xr6:coauthVersionMax="47" xr10:uidLastSave="{00000000-0000-0000-0000-000000000000}"/>
  <bookViews>
    <workbookView xWindow="-120" yWindow="-120" windowWidth="20730" windowHeight="11160" activeTab="1" xr2:uid="{4CD690D9-BA25-49BD-8154-0B61F87C13B0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F6" i="2"/>
  <c r="F7" i="2"/>
  <c r="I7" i="2" s="1"/>
  <c r="F8" i="2"/>
  <c r="G8" i="2" s="1"/>
  <c r="F9" i="2"/>
  <c r="F10" i="2"/>
  <c r="F11" i="2"/>
  <c r="F12" i="2"/>
  <c r="I12" i="2" s="1"/>
  <c r="F13" i="2"/>
  <c r="F14" i="2"/>
  <c r="F15" i="2"/>
  <c r="Q18" i="2"/>
  <c r="H16" i="2"/>
  <c r="E16" i="2"/>
  <c r="I5" i="2"/>
  <c r="I6" i="2"/>
  <c r="I10" i="2"/>
  <c r="I11" i="2"/>
  <c r="I13" i="2"/>
  <c r="I14" i="2"/>
  <c r="I15" i="2"/>
  <c r="I4" i="2"/>
  <c r="G5" i="2"/>
  <c r="G6" i="2"/>
  <c r="G7" i="2"/>
  <c r="G10" i="2"/>
  <c r="G11" i="2"/>
  <c r="G12" i="2"/>
  <c r="G13" i="2"/>
  <c r="G14" i="2"/>
  <c r="G15" i="2"/>
  <c r="G4" i="2"/>
  <c r="H25" i="2"/>
  <c r="I25" i="2"/>
  <c r="H23" i="2"/>
  <c r="I23" i="2"/>
  <c r="H21" i="2"/>
  <c r="I21" i="2"/>
  <c r="D16" i="2"/>
  <c r="I9" i="2"/>
  <c r="E18" i="2"/>
  <c r="D18" i="2"/>
  <c r="E17" i="2"/>
  <c r="D17" i="2"/>
  <c r="C120" i="1"/>
  <c r="D119" i="1"/>
  <c r="D120" i="1" s="1"/>
  <c r="D117" i="1"/>
  <c r="E116" i="1"/>
  <c r="D116" i="1"/>
  <c r="C116" i="1"/>
  <c r="D114" i="1"/>
  <c r="G113" i="1"/>
  <c r="F113" i="1"/>
  <c r="H113" i="1" s="1"/>
  <c r="G112" i="1"/>
  <c r="F112" i="1"/>
  <c r="H112" i="1" s="1"/>
  <c r="H111" i="1"/>
  <c r="G111" i="1"/>
  <c r="F111" i="1"/>
  <c r="G110" i="1"/>
  <c r="H110" i="1" s="1"/>
  <c r="F110" i="1"/>
  <c r="G109" i="1"/>
  <c r="F109" i="1"/>
  <c r="H109" i="1" s="1"/>
  <c r="G108" i="1"/>
  <c r="F108" i="1"/>
  <c r="H108" i="1" s="1"/>
  <c r="J107" i="1"/>
  <c r="G107" i="1"/>
  <c r="F107" i="1"/>
  <c r="H107" i="1" s="1"/>
  <c r="J106" i="1"/>
  <c r="G106" i="1"/>
  <c r="F106" i="1"/>
  <c r="H106" i="1" s="1"/>
  <c r="J105" i="1"/>
  <c r="G105" i="1"/>
  <c r="F105" i="1"/>
  <c r="H105" i="1" s="1"/>
  <c r="J104" i="1"/>
  <c r="G104" i="1"/>
  <c r="F104" i="1"/>
  <c r="H104" i="1" s="1"/>
  <c r="J103" i="1"/>
  <c r="G103" i="1"/>
  <c r="F103" i="1"/>
  <c r="H103" i="1" s="1"/>
  <c r="J102" i="1"/>
  <c r="G102" i="1"/>
  <c r="F102" i="1"/>
  <c r="H102" i="1" s="1"/>
  <c r="D97" i="1"/>
  <c r="C97" i="1"/>
  <c r="D96" i="1"/>
  <c r="B96" i="1"/>
  <c r="E97" i="1" s="1"/>
  <c r="F97" i="1" s="1"/>
  <c r="G98" i="1" s="1"/>
  <c r="E90" i="1"/>
  <c r="B90" i="1"/>
  <c r="D80" i="1"/>
  <c r="D81" i="1" s="1"/>
  <c r="D82" i="1" s="1"/>
  <c r="D83" i="1" s="1"/>
  <c r="D84" i="1" s="1"/>
  <c r="D85" i="1" s="1"/>
  <c r="D86" i="1" s="1"/>
  <c r="D87" i="1" s="1"/>
  <c r="D88" i="1" s="1"/>
  <c r="D89" i="1" s="1"/>
  <c r="D79" i="1"/>
  <c r="D78" i="1"/>
  <c r="E68" i="1"/>
  <c r="B68" i="1"/>
  <c r="K63" i="1"/>
  <c r="K64" i="1" s="1"/>
  <c r="K65" i="1" s="1"/>
  <c r="K66" i="1" s="1"/>
  <c r="D59" i="1"/>
  <c r="D60" i="1" s="1"/>
  <c r="D61" i="1" s="1"/>
  <c r="D62" i="1" s="1"/>
  <c r="D63" i="1" s="1"/>
  <c r="D64" i="1" s="1"/>
  <c r="D65" i="1" s="1"/>
  <c r="D66" i="1" s="1"/>
  <c r="D67" i="1" s="1"/>
  <c r="D58" i="1"/>
  <c r="D57" i="1"/>
  <c r="D56" i="1"/>
  <c r="D52" i="1"/>
  <c r="E52" i="1" s="1"/>
  <c r="F52" i="1" s="1"/>
  <c r="F56" i="1" s="1"/>
  <c r="J49" i="1"/>
  <c r="K49" i="1" s="1"/>
  <c r="K48" i="1"/>
  <c r="K50" i="1" s="1"/>
  <c r="J48" i="1"/>
  <c r="D48" i="1"/>
  <c r="C48" i="1"/>
  <c r="B48" i="1"/>
  <c r="E47" i="1"/>
  <c r="E46" i="1"/>
  <c r="E45" i="1"/>
  <c r="E44" i="1"/>
  <c r="E43" i="1"/>
  <c r="E42" i="1"/>
  <c r="E41" i="1"/>
  <c r="E40" i="1"/>
  <c r="E39" i="1"/>
  <c r="E38" i="1"/>
  <c r="E37" i="1"/>
  <c r="E48" i="1" s="1"/>
  <c r="E36" i="1"/>
  <c r="D32" i="1"/>
  <c r="C32" i="1"/>
  <c r="B32" i="1"/>
  <c r="E31" i="1"/>
  <c r="E30" i="1"/>
  <c r="E29" i="1"/>
  <c r="E28" i="1"/>
  <c r="E27" i="1"/>
  <c r="E26" i="1"/>
  <c r="E25" i="1"/>
  <c r="E24" i="1"/>
  <c r="E23" i="1"/>
  <c r="E22" i="1"/>
  <c r="E32" i="1" s="1"/>
  <c r="E21" i="1"/>
  <c r="E20" i="1"/>
  <c r="E16" i="1"/>
  <c r="D16" i="1"/>
  <c r="B16" i="1"/>
  <c r="I8" i="2" l="1"/>
  <c r="I16" i="2" s="1"/>
  <c r="G9" i="2"/>
  <c r="G16" i="2" s="1"/>
  <c r="F18" i="2"/>
  <c r="F17" i="2"/>
  <c r="F16" i="2"/>
  <c r="G56" i="1"/>
  <c r="G57" i="1" s="1"/>
  <c r="H114" i="1"/>
  <c r="I115" i="1" s="1"/>
  <c r="I116" i="1" s="1"/>
  <c r="J117" i="1" s="1"/>
  <c r="F85" i="1"/>
  <c r="F86" i="1"/>
  <c r="F82" i="1"/>
  <c r="F78" i="1"/>
  <c r="F61" i="1"/>
  <c r="F57" i="1"/>
  <c r="F68" i="1" s="1"/>
  <c r="F87" i="1"/>
  <c r="F83" i="1"/>
  <c r="F79" i="1"/>
  <c r="F62" i="1"/>
  <c r="F58" i="1"/>
  <c r="F88" i="1"/>
  <c r="F84" i="1"/>
  <c r="F80" i="1"/>
  <c r="F67" i="1"/>
  <c r="F66" i="1"/>
  <c r="F65" i="1"/>
  <c r="F64" i="1"/>
  <c r="F63" i="1"/>
  <c r="F59" i="1"/>
  <c r="F89" i="1"/>
  <c r="F81" i="1"/>
  <c r="F60" i="1"/>
  <c r="F32" i="1"/>
  <c r="F90" i="1" l="1"/>
  <c r="G90" i="1" s="1"/>
  <c r="G78" i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58" i="1"/>
  <c r="G59" i="1" s="1"/>
  <c r="G60" i="1" s="1"/>
  <c r="G61" i="1" s="1"/>
  <c r="G62" i="1" s="1"/>
  <c r="G63" i="1" s="1"/>
  <c r="G64" i="1" s="1"/>
  <c r="G65" i="1" s="1"/>
  <c r="G66" i="1" s="1"/>
  <c r="G67" i="1" s="1"/>
</calcChain>
</file>

<file path=xl/sharedStrings.xml><?xml version="1.0" encoding="utf-8"?>
<sst xmlns="http://schemas.openxmlformats.org/spreadsheetml/2006/main" count="219" uniqueCount="118">
  <si>
    <t>Tabel 1. Pemakaian dan Pembelian tembakau Tahun 2022-2023</t>
  </si>
  <si>
    <t>Bulan</t>
  </si>
  <si>
    <t>Pembelian</t>
  </si>
  <si>
    <t>Pemakaian</t>
  </si>
  <si>
    <t>1 zak = 50 kg</t>
  </si>
  <si>
    <t>kg</t>
  </si>
  <si>
    <t>karung</t>
  </si>
  <si>
    <t>Juni (2022)</t>
  </si>
  <si>
    <t>Jumlah pemakaian bahan baku sebesar 82.953 kg.</t>
  </si>
  <si>
    <t>Juli (2022)</t>
  </si>
  <si>
    <t>dengan total 1659 karung selama satu tahun.</t>
  </si>
  <si>
    <t>Agustus (2022)</t>
  </si>
  <si>
    <t>dengan pembelian bahan baku sebesar 83.260 kg</t>
  </si>
  <si>
    <t>September (2022)</t>
  </si>
  <si>
    <t>dengan total  1665 karung  selama satu tahun.</t>
  </si>
  <si>
    <t>Oktober 2022</t>
  </si>
  <si>
    <t>November (2022)</t>
  </si>
  <si>
    <t>Desember (2022)</t>
  </si>
  <si>
    <t>Januari (2023)</t>
  </si>
  <si>
    <t>Februari (2023)</t>
  </si>
  <si>
    <t>Maret (2023)</t>
  </si>
  <si>
    <t>April (2023)</t>
  </si>
  <si>
    <t>Mei (2023)</t>
  </si>
  <si>
    <t>Total</t>
  </si>
  <si>
    <t>Tabel 2. Biaya Pemesanan tembakauTahun 2022-2023</t>
  </si>
  <si>
    <t>Biaya Komunikasi &amp; materai</t>
  </si>
  <si>
    <t>Biaya Transportasi</t>
  </si>
  <si>
    <t>Biaya Bongkar Muat</t>
  </si>
  <si>
    <t>Total Biaya</t>
  </si>
  <si>
    <t>Total biaya pemesanan Tembakau sebesar Rp 99.600.000</t>
  </si>
  <si>
    <t>Tabel 3. Biaya Penyimpanan Tembakau Tahun 2022-2023</t>
  </si>
  <si>
    <t>Biaya Perawatan</t>
  </si>
  <si>
    <t>Biaya Listrik dan Air</t>
  </si>
  <si>
    <t>Biaya Pajak</t>
  </si>
  <si>
    <t>Bahan Baku</t>
  </si>
  <si>
    <t>Total Biaya Penyimpanan</t>
  </si>
  <si>
    <t>Persentase Penyimpanan</t>
  </si>
  <si>
    <t>Biaya Simpan Bahan Baku</t>
  </si>
  <si>
    <t>Biaya Simpan Per Tahun</t>
  </si>
  <si>
    <t>Biaya Simpan Per Bulan</t>
  </si>
  <si>
    <t>tembakau</t>
  </si>
  <si>
    <t>Biaya Penyimpanan Tembakau Tahun 2022 - 2023</t>
  </si>
  <si>
    <t>yaitu sebesar Rp 31.800.000</t>
  </si>
  <si>
    <t>Jumlah</t>
  </si>
  <si>
    <t xml:space="preserve">Tabel 4. Biaya Penyimpanan per unit </t>
  </si>
  <si>
    <t>Biaya Simpan per tahun</t>
  </si>
  <si>
    <t>Biaya Simpan per bulan</t>
  </si>
  <si>
    <t>tembaku</t>
  </si>
  <si>
    <t>Tabel 5. Perhitungan total biaya persediaan gula rafinasi dengan kebijakan perusahaan</t>
  </si>
  <si>
    <t>pemakaian (karung)</t>
  </si>
  <si>
    <t>Pembelian (karung)</t>
  </si>
  <si>
    <t>Simpan (zak)</t>
  </si>
  <si>
    <t>Biaya Pemesanan</t>
  </si>
  <si>
    <t>Biaya Penyimpanan</t>
  </si>
  <si>
    <t>Total Biaya Persediaan</t>
  </si>
  <si>
    <t>Total biaya persediaan gula rafinasi perusahaan sebesar</t>
  </si>
  <si>
    <t>D</t>
  </si>
  <si>
    <t>S</t>
  </si>
  <si>
    <t>H</t>
  </si>
  <si>
    <t xml:space="preserve">EOQ = </t>
  </si>
  <si>
    <t>total</t>
  </si>
  <si>
    <t>Masa waktu pemesanan selama satu tahun</t>
  </si>
  <si>
    <t>Frekuensi pemesanan selama setahun</t>
  </si>
  <si>
    <t xml:space="preserve">T = </t>
  </si>
  <si>
    <t xml:space="preserve">F = </t>
  </si>
  <si>
    <t>F =</t>
  </si>
  <si>
    <t>T = 121,6 dibulatkan menjadi 122 hari</t>
  </si>
  <si>
    <t>F = 2,56 atau 3 kali pemesanan selama satu tahun</t>
  </si>
  <si>
    <t>Tabel 6</t>
  </si>
  <si>
    <t>EOQ =</t>
  </si>
  <si>
    <t>Kebutuhan (Karung)</t>
  </si>
  <si>
    <t>EOQ</t>
  </si>
  <si>
    <t>Simpan (karung)</t>
  </si>
  <si>
    <t>646,03atau 646 karung tiap pesanan selama satu tahun</t>
  </si>
  <si>
    <t>Tabel 7</t>
  </si>
  <si>
    <t>Kebijakan perusahaan</t>
  </si>
  <si>
    <t>Metode Economic Order Quantity (EOQ)</t>
  </si>
  <si>
    <t>Terdapat selisih yaitu Rp 53.724.200 atau sekitar 68%</t>
  </si>
  <si>
    <t>Reorder Point</t>
  </si>
  <si>
    <t>ROP = ( d x L) + ss</t>
  </si>
  <si>
    <t>ROP = (5 x 3) + 20</t>
  </si>
  <si>
    <t>ROP = 15 + 20</t>
  </si>
  <si>
    <t>ROP = 35 karung</t>
  </si>
  <si>
    <t>fix</t>
  </si>
  <si>
    <t>Produksi</t>
  </si>
  <si>
    <t>pembelian</t>
  </si>
  <si>
    <t xml:space="preserve"> Persediaan perusahaan</t>
  </si>
  <si>
    <t>min</t>
  </si>
  <si>
    <t>max</t>
  </si>
  <si>
    <t>jumlah</t>
  </si>
  <si>
    <t xml:space="preserve">Fungsi </t>
  </si>
  <si>
    <t xml:space="preserve">Nama Variabel </t>
  </si>
  <si>
    <t>Semesta Pembicaraan</t>
  </si>
  <si>
    <t>Nama Himpunan Fuzzy</t>
  </si>
  <si>
    <t>Domain</t>
  </si>
  <si>
    <t>Input</t>
  </si>
  <si>
    <t>[6360 - 7400]</t>
  </si>
  <si>
    <t>[6200 -7390]</t>
  </si>
  <si>
    <t xml:space="preserve">Output </t>
  </si>
  <si>
    <t>Peramalan Persediaan perusahaan</t>
  </si>
  <si>
    <t>[6310-7460]</t>
  </si>
  <si>
    <t>turun</t>
  </si>
  <si>
    <t>naik</t>
  </si>
  <si>
    <t>sedikit</t>
  </si>
  <si>
    <t>banyak</t>
  </si>
  <si>
    <t>berkurang</t>
  </si>
  <si>
    <t>bertambah</t>
  </si>
  <si>
    <t>6360-6880</t>
  </si>
  <si>
    <t>6880-7400</t>
  </si>
  <si>
    <t>6200-6795</t>
  </si>
  <si>
    <t>6795-7390</t>
  </si>
  <si>
    <t>6310-6885</t>
  </si>
  <si>
    <t>6885-7460</t>
  </si>
  <si>
    <t>Produksi (kg)</t>
  </si>
  <si>
    <t>Pembelian(kg)</t>
  </si>
  <si>
    <t>Persediaan</t>
  </si>
  <si>
    <t xml:space="preserve">Perusahaan </t>
  </si>
  <si>
    <t>Persediaan Menggunakan Fuzzy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</si>
</sst>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Rp&quot;#,##0;[Red]\-&quot;Rp&quot;#,##0"/>
    <numFmt numFmtId="164" formatCode="&quot;Rp&quot;#,##0"/>
    <numFmt numFmtId="165" formatCode="&quot;Rp&quot;#,##0.00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9"/>
      <color rgb="FF000000"/>
      <name val="Times New Roman"/>
      <family val="1"/>
    </font>
    <font>
      <b/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1F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/>
    <xf numFmtId="1" fontId="4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0" fontId="6" fillId="0" borderId="2" xfId="0" applyFont="1" applyBorder="1"/>
    <xf numFmtId="164" fontId="6" fillId="0" borderId="2" xfId="0" applyNumberFormat="1" applyFont="1" applyBorder="1" applyAlignment="1">
      <alignment horizontal="center" vertical="center"/>
    </xf>
    <xf numFmtId="164" fontId="3" fillId="0" borderId="0" xfId="0" applyNumberFormat="1" applyFont="1"/>
    <xf numFmtId="0" fontId="6" fillId="0" borderId="2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6" fontId="8" fillId="0" borderId="6" xfId="0" applyNumberFormat="1" applyFont="1" applyBorder="1" applyAlignment="1">
      <alignment horizontal="center" vertical="center"/>
    </xf>
    <xf numFmtId="9" fontId="8" fillId="0" borderId="6" xfId="0" applyNumberFormat="1" applyFont="1" applyBorder="1" applyAlignment="1">
      <alignment horizontal="center" vertical="center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165" fontId="3" fillId="0" borderId="0" xfId="0" applyNumberFormat="1" applyFont="1"/>
    <xf numFmtId="0" fontId="6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3" fillId="0" borderId="6" xfId="0" applyFont="1" applyBorder="1"/>
    <xf numFmtId="9" fontId="3" fillId="0" borderId="6" xfId="0" applyNumberFormat="1" applyFont="1" applyBorder="1"/>
    <xf numFmtId="164" fontId="3" fillId="0" borderId="1" xfId="0" applyNumberFormat="1" applyFont="1" applyBorder="1"/>
    <xf numFmtId="0" fontId="3" fillId="0" borderId="12" xfId="0" applyFont="1" applyBorder="1"/>
    <xf numFmtId="0" fontId="3" fillId="0" borderId="1" xfId="0" applyFont="1" applyBorder="1"/>
    <xf numFmtId="0" fontId="3" fillId="0" borderId="13" xfId="0" applyFont="1" applyBorder="1"/>
    <xf numFmtId="0" fontId="6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quotePrefix="1" applyFont="1"/>
    <xf numFmtId="166" fontId="3" fillId="0" borderId="0" xfId="0" applyNumberFormat="1" applyFont="1"/>
    <xf numFmtId="2" fontId="3" fillId="0" borderId="0" xfId="0" applyNumberFormat="1" applyFont="1"/>
    <xf numFmtId="164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6" fillId="3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" fontId="3" fillId="0" borderId="0" xfId="0" applyNumberFormat="1" applyFont="1"/>
    <xf numFmtId="9" fontId="3" fillId="0" borderId="0" xfId="1" applyFont="1"/>
    <xf numFmtId="9" fontId="3" fillId="0" borderId="0" xfId="0" applyNumberFormat="1" applyFont="1"/>
    <xf numFmtId="4" fontId="3" fillId="0" borderId="0" xfId="0" applyNumberFormat="1" applyFont="1"/>
    <xf numFmtId="0" fontId="9" fillId="0" borderId="0" xfId="0" applyFont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19050</xdr:colOff>
      <xdr:row>65</xdr:row>
      <xdr:rowOff>161925</xdr:rowOff>
    </xdr:from>
    <xdr:ext cx="392864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7B4B84E9-4E7C-4841-8407-B1DA727C4038}"/>
                </a:ext>
              </a:extLst>
            </xdr:cNvPr>
            <xdr:cNvSpPr txBox="1"/>
          </xdr:nvSpPr>
          <xdr:spPr>
            <a:xfrm>
              <a:off x="23745825" y="16259175"/>
              <a:ext cx="39286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𝐷𝑆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𝐻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7B4B84E9-4E7C-4841-8407-B1DA727C4038}"/>
                </a:ext>
              </a:extLst>
            </xdr:cNvPr>
            <xdr:cNvSpPr txBox="1"/>
          </xdr:nvSpPr>
          <xdr:spPr>
            <a:xfrm>
              <a:off x="23745825" y="16259175"/>
              <a:ext cx="39286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2𝐷𝑆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𝐻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9</xdr:col>
      <xdr:colOff>0</xdr:colOff>
      <xdr:row>69</xdr:row>
      <xdr:rowOff>0</xdr:rowOff>
    </xdr:from>
    <xdr:ext cx="1360244" cy="6585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C6E6ADBB-8678-4F07-A247-290FD3C63913}"/>
                </a:ext>
              </a:extLst>
            </xdr:cNvPr>
            <xdr:cNvSpPr txBox="1"/>
          </xdr:nvSpPr>
          <xdr:spPr>
            <a:xfrm>
              <a:off x="23726775" y="17011650"/>
              <a:ext cx="1360244" cy="6585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2 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1659 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8000000</m:t>
                            </m:r>
                          </m:num>
                          <m:den>
                            <m:eqArr>
                              <m:eqArrPr>
                                <m:ctrlPr>
                                  <a:rPr lang="id-ID" sz="1100" b="0" i="1">
                                    <a:latin typeface="Cambria Math" panose="02040503050406030204" pitchFamily="18" charset="0"/>
                                  </a:rPr>
                                </m:ctrlPr>
                              </m:eqArrPr>
                              <m:e>
                                <m:r>
                                  <a:rPr lang="id-ID" sz="1100" b="0" i="1">
                                    <a:latin typeface="Cambria Math" panose="02040503050406030204" pitchFamily="18" charset="0"/>
                                  </a:rPr>
                                  <m:t>63600</m:t>
                                </m:r>
                              </m:e>
                              <m:e/>
                            </m:eqAr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C6E6ADBB-8678-4F07-A247-290FD3C63913}"/>
                </a:ext>
              </a:extLst>
            </xdr:cNvPr>
            <xdr:cNvSpPr txBox="1"/>
          </xdr:nvSpPr>
          <xdr:spPr>
            <a:xfrm>
              <a:off x="23726775" y="17011650"/>
              <a:ext cx="1360244" cy="6585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</a:t>
              </a:r>
              <a:r>
                <a:rPr lang="en-US" sz="1100" b="0" i="0">
                  <a:latin typeface="Cambria Math" panose="02040503050406030204" pitchFamily="18" charset="0"/>
                </a:rPr>
                <a:t>2 𝑥 1659 𝑥 8000000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id-ID" sz="1100" b="0" i="0">
                  <a:latin typeface="Cambria Math" panose="02040503050406030204" pitchFamily="18" charset="0"/>
                </a:rPr>
                <a:t>█(63600@)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8</xdr:col>
      <xdr:colOff>561975</xdr:colOff>
      <xdr:row>71</xdr:row>
      <xdr:rowOff>171450</xdr:rowOff>
    </xdr:from>
    <xdr:ext cx="998800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2DE9F42A-EA87-44E9-B0B0-71DFABD8C5A5}"/>
                </a:ext>
              </a:extLst>
            </xdr:cNvPr>
            <xdr:cNvSpPr txBox="1"/>
          </xdr:nvSpPr>
          <xdr:spPr>
            <a:xfrm>
              <a:off x="23679150" y="17583150"/>
              <a:ext cx="998800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24544000000</m:t>
                            </m:r>
                          </m:num>
                          <m:den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63600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2DE9F42A-EA87-44E9-B0B0-71DFABD8C5A5}"/>
                </a:ext>
              </a:extLst>
            </xdr:cNvPr>
            <xdr:cNvSpPr txBox="1"/>
          </xdr:nvSpPr>
          <xdr:spPr>
            <a:xfrm>
              <a:off x="23679150" y="17583150"/>
              <a:ext cx="998800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id-ID" sz="1100" b="0" i="0">
                  <a:latin typeface="Cambria Math" panose="02040503050406030204" pitchFamily="18" charset="0"/>
                </a:rPr>
                <a:t>24544000000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id-ID" sz="1100" b="0" i="0">
                  <a:latin typeface="Cambria Math" panose="02040503050406030204" pitchFamily="18" charset="0"/>
                </a:rPr>
                <a:t>63600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8</xdr:col>
      <xdr:colOff>590550</xdr:colOff>
      <xdr:row>74</xdr:row>
      <xdr:rowOff>190500</xdr:rowOff>
    </xdr:from>
    <xdr:ext cx="790345" cy="2049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26255747-F55F-49D6-B864-2C1C035DF8E9}"/>
                </a:ext>
              </a:extLst>
            </xdr:cNvPr>
            <xdr:cNvSpPr txBox="1"/>
          </xdr:nvSpPr>
          <xdr:spPr>
            <a:xfrm>
              <a:off x="23707725" y="18202275"/>
              <a:ext cx="790345" cy="2049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417358,49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26255747-F55F-49D6-B864-2C1C035DF8E9}"/>
                </a:ext>
              </a:extLst>
            </xdr:cNvPr>
            <xdr:cNvSpPr txBox="1"/>
          </xdr:nvSpPr>
          <xdr:spPr>
            <a:xfrm>
              <a:off x="23707725" y="18202275"/>
              <a:ext cx="790345" cy="2049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</a:t>
              </a:r>
              <a:r>
                <a:rPr lang="id-ID" sz="1100" b="0" i="0">
                  <a:latin typeface="Cambria Math" panose="02040503050406030204" pitchFamily="18" charset="0"/>
                </a:rPr>
                <a:t>417358,49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5</xdr:col>
      <xdr:colOff>285750</xdr:colOff>
      <xdr:row>70</xdr:row>
      <xdr:rowOff>19050</xdr:rowOff>
    </xdr:from>
    <xdr:ext cx="314894" cy="3421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DD358DD0-43EB-4D84-A547-D8820495562A}"/>
                </a:ext>
              </a:extLst>
            </xdr:cNvPr>
            <xdr:cNvSpPr txBox="1"/>
          </xdr:nvSpPr>
          <xdr:spPr>
            <a:xfrm>
              <a:off x="13430250" y="17230725"/>
              <a:ext cx="314894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𝐸𝑂𝑄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DD358DD0-43EB-4D84-A547-D8820495562A}"/>
                </a:ext>
              </a:extLst>
            </xdr:cNvPr>
            <xdr:cNvSpPr txBox="1"/>
          </xdr:nvSpPr>
          <xdr:spPr>
            <a:xfrm>
              <a:off x="13430250" y="17230725"/>
              <a:ext cx="314894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𝐷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𝐸𝑂𝑄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5</xdr:col>
      <xdr:colOff>276225</xdr:colOff>
      <xdr:row>72</xdr:row>
      <xdr:rowOff>19050</xdr:rowOff>
    </xdr:from>
    <xdr:ext cx="344261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CB92F913-26B0-475A-B0FF-CE637F4E261B}"/>
                </a:ext>
              </a:extLst>
            </xdr:cNvPr>
            <xdr:cNvSpPr txBox="1"/>
          </xdr:nvSpPr>
          <xdr:spPr>
            <a:xfrm>
              <a:off x="13420725" y="17630775"/>
              <a:ext cx="344261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1659</m:t>
                        </m:r>
                      </m:num>
                      <m:den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646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CB92F913-26B0-475A-B0FF-CE637F4E261B}"/>
                </a:ext>
              </a:extLst>
            </xdr:cNvPr>
            <xdr:cNvSpPr txBox="1"/>
          </xdr:nvSpPr>
          <xdr:spPr>
            <a:xfrm>
              <a:off x="13420725" y="17630775"/>
              <a:ext cx="344261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1659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id-ID" sz="1100" b="0" i="0">
                  <a:latin typeface="Cambria Math" panose="02040503050406030204" pitchFamily="18" charset="0"/>
                </a:rPr>
                <a:t>646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295275</xdr:colOff>
      <xdr:row>70</xdr:row>
      <xdr:rowOff>28575</xdr:rowOff>
    </xdr:from>
    <xdr:ext cx="1770998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84440AD7-72C6-4DDF-BE6D-88F3EA43583D}"/>
                </a:ext>
              </a:extLst>
            </xdr:cNvPr>
            <xdr:cNvSpPr txBox="1"/>
          </xdr:nvSpPr>
          <xdr:spPr>
            <a:xfrm>
              <a:off x="7219950" y="17240250"/>
              <a:ext cx="1770998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𝐽𝑢𝑚𝑙𝑎h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h𝑎𝑟𝑖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𝑑𝑎𝑙𝑎𝑚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𝑠𝑒𝑡𝑎h𝑢𝑛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𝐹𝑟𝑒𝑘𝑢𝑒𝑛𝑠𝑖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84440AD7-72C6-4DDF-BE6D-88F3EA43583D}"/>
                </a:ext>
              </a:extLst>
            </xdr:cNvPr>
            <xdr:cNvSpPr txBox="1"/>
          </xdr:nvSpPr>
          <xdr:spPr>
            <a:xfrm>
              <a:off x="7219950" y="17240250"/>
              <a:ext cx="1770998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𝐽𝑢𝑚𝑙𝑎ℎ ℎ𝑎𝑟𝑖 𝑑𝑎𝑙𝑎𝑚 𝑠𝑒𝑡𝑎ℎ𝑢𝑛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𝐹𝑟𝑒𝑘𝑢𝑒𝑛𝑠𝑖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323850</xdr:colOff>
      <xdr:row>72</xdr:row>
      <xdr:rowOff>19050</xdr:rowOff>
    </xdr:from>
    <xdr:ext cx="266163" cy="32034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66A2525F-30DA-4C89-A54F-BF1A621A2E7B}"/>
                </a:ext>
              </a:extLst>
            </xdr:cNvPr>
            <xdr:cNvSpPr txBox="1"/>
          </xdr:nvSpPr>
          <xdr:spPr>
            <a:xfrm>
              <a:off x="7248525" y="17630775"/>
              <a:ext cx="266163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365</m:t>
                        </m:r>
                      </m:num>
                      <m:den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66A2525F-30DA-4C89-A54F-BF1A621A2E7B}"/>
                </a:ext>
              </a:extLst>
            </xdr:cNvPr>
            <xdr:cNvSpPr txBox="1"/>
          </xdr:nvSpPr>
          <xdr:spPr>
            <a:xfrm>
              <a:off x="7248525" y="17630775"/>
              <a:ext cx="266163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365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id-ID" sz="1100" b="0" i="0">
                  <a:latin typeface="Cambria Math" panose="02040503050406030204" pitchFamily="18" charset="0"/>
                </a:rPr>
                <a:t>3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258041</xdr:colOff>
      <xdr:row>111</xdr:row>
      <xdr:rowOff>215612</xdr:rowOff>
    </xdr:from>
    <xdr:ext cx="779188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2005EE3-BEFD-4CAB-8669-B4BDF0E10370}"/>
                </a:ext>
              </a:extLst>
            </xdr:cNvPr>
            <xdr:cNvSpPr txBox="1"/>
          </xdr:nvSpPr>
          <xdr:spPr>
            <a:xfrm>
              <a:off x="2067791" y="26666537"/>
              <a:ext cx="77918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(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𝑋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bar>
                                      <m:barPr>
                                        <m:pos m:val="top"/>
                                        <m:ctrlP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barPr>
                                      <m:e>
                                        <m: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𝑋</m:t>
                                        </m:r>
                                      </m:e>
                                    </m:ba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)</m:t>
                                    </m:r>
                                  </m:e>
                                  <m:sup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2005EE3-BEFD-4CAB-8669-B4BDF0E10370}"/>
                </a:ext>
              </a:extLst>
            </xdr:cNvPr>
            <xdr:cNvSpPr txBox="1"/>
          </xdr:nvSpPr>
          <xdr:spPr>
            <a:xfrm>
              <a:off x="2067791" y="26666537"/>
              <a:ext cx="77918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√((∑</a:t>
              </a:r>
              <a:r>
                <a:rPr lang="en-US" sz="1100" b="0" i="0">
                  <a:latin typeface="Cambria Math" panose="02040503050406030204" pitchFamily="18" charset="0"/>
                </a:rPr>
                <a:t>▒〖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(𝑋−¯𝑋)〗^</a:t>
              </a:r>
              <a:r>
                <a:rPr lang="en-US" sz="1100" b="0" i="0">
                  <a:latin typeface="Cambria Math" panose="02040503050406030204" pitchFamily="18" charset="0"/>
                </a:rPr>
                <a:t>2 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238991</xdr:colOff>
      <xdr:row>115</xdr:row>
      <xdr:rowOff>13855</xdr:rowOff>
    </xdr:from>
    <xdr:ext cx="452111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CEBC61A4-BF53-4293-AB55-D744B7078A2E}"/>
                </a:ext>
              </a:extLst>
            </xdr:cNvPr>
            <xdr:cNvSpPr txBox="1"/>
          </xdr:nvSpPr>
          <xdr:spPr>
            <a:xfrm>
              <a:off x="2048741" y="27341080"/>
              <a:ext cx="452111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1488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CEBC61A4-BF53-4293-AB55-D744B7078A2E}"/>
                </a:ext>
              </a:extLst>
            </xdr:cNvPr>
            <xdr:cNvSpPr txBox="1"/>
          </xdr:nvSpPr>
          <xdr:spPr>
            <a:xfrm>
              <a:off x="2048741" y="27341080"/>
              <a:ext cx="452111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1488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12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229466</xdr:colOff>
      <xdr:row>118</xdr:row>
      <xdr:rowOff>155864</xdr:rowOff>
    </xdr:from>
    <xdr:ext cx="358816" cy="1957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327FD871-C177-47EC-BB92-78A314B060A0}"/>
                </a:ext>
              </a:extLst>
            </xdr:cNvPr>
            <xdr:cNvSpPr txBox="1"/>
          </xdr:nvSpPr>
          <xdr:spPr>
            <a:xfrm>
              <a:off x="2039216" y="28083164"/>
              <a:ext cx="358816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124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327FD871-C177-47EC-BB92-78A314B060A0}"/>
                </a:ext>
              </a:extLst>
            </xdr:cNvPr>
            <xdr:cNvSpPr txBox="1"/>
          </xdr:nvSpPr>
          <xdr:spPr>
            <a:xfrm>
              <a:off x="2039216" y="28083164"/>
              <a:ext cx="358816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</a:t>
              </a:r>
              <a:r>
                <a:rPr lang="en-US" sz="1100" b="0" i="0">
                  <a:latin typeface="Cambria Math" panose="02040503050406030204" pitchFamily="18" charset="0"/>
                </a:rPr>
                <a:t>124</a:t>
              </a:r>
              <a:endParaRPr lang="en-ID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D95DF-554B-422B-B4FD-CE28051893C3}">
  <dimension ref="A1:P120"/>
  <sheetViews>
    <sheetView topLeftCell="A25" zoomScale="55" zoomScaleNormal="55" workbookViewId="0">
      <selection activeCell="A36" sqref="A36:A47"/>
    </sheetView>
  </sheetViews>
  <sheetFormatPr defaultRowHeight="15.75" x14ac:dyDescent="0.25"/>
  <cols>
    <col min="1" max="1" width="57.5703125" style="1" customWidth="1"/>
    <col min="2" max="2" width="40.140625" style="1" customWidth="1"/>
    <col min="3" max="3" width="36.5703125" style="1" bestFit="1" customWidth="1"/>
    <col min="4" max="4" width="59.5703125" style="1" bestFit="1" customWidth="1"/>
    <col min="5" max="5" width="33.7109375" style="1" bestFit="1" customWidth="1"/>
    <col min="6" max="6" width="56.28515625" style="1" customWidth="1"/>
    <col min="7" max="7" width="56.7109375" style="1" bestFit="1" customWidth="1"/>
    <col min="8" max="8" width="36.5703125" style="1" bestFit="1" customWidth="1"/>
    <col min="9" max="9" width="9.140625" style="1"/>
    <col min="10" max="10" width="30.28515625" style="1" customWidth="1"/>
    <col min="11" max="11" width="22.5703125" style="1" bestFit="1" customWidth="1"/>
    <col min="12" max="12" width="15.140625" style="1" bestFit="1" customWidth="1"/>
    <col min="13" max="16384" width="9.140625" style="1"/>
  </cols>
  <sheetData>
    <row r="1" spans="1:7" ht="18.75" x14ac:dyDescent="0.3">
      <c r="A1" s="72" t="s">
        <v>0</v>
      </c>
      <c r="B1" s="72"/>
      <c r="C1" s="72"/>
      <c r="D1" s="72"/>
      <c r="E1" s="72"/>
    </row>
    <row r="2" spans="1:7" ht="18.75" x14ac:dyDescent="0.3">
      <c r="A2" s="73" t="s">
        <v>1</v>
      </c>
      <c r="B2" s="74" t="s">
        <v>2</v>
      </c>
      <c r="C2" s="74"/>
      <c r="D2" s="74" t="s">
        <v>3</v>
      </c>
      <c r="E2" s="74"/>
      <c r="G2" s="1" t="s">
        <v>4</v>
      </c>
    </row>
    <row r="3" spans="1:7" ht="18.75" x14ac:dyDescent="0.3">
      <c r="A3" s="73"/>
      <c r="B3" s="2" t="s">
        <v>5</v>
      </c>
      <c r="C3" s="2" t="s">
        <v>6</v>
      </c>
      <c r="D3" s="2" t="s">
        <v>5</v>
      </c>
      <c r="E3" s="2" t="s">
        <v>6</v>
      </c>
    </row>
    <row r="4" spans="1:7" ht="18.75" x14ac:dyDescent="0.25">
      <c r="A4" s="3" t="s">
        <v>7</v>
      </c>
      <c r="B4" s="3">
        <v>7260</v>
      </c>
      <c r="C4" s="3">
        <v>145</v>
      </c>
      <c r="D4" s="3">
        <v>7045</v>
      </c>
      <c r="E4" s="3">
        <v>141</v>
      </c>
      <c r="G4" s="1" t="s">
        <v>8</v>
      </c>
    </row>
    <row r="5" spans="1:7" ht="18.75" x14ac:dyDescent="0.25">
      <c r="A5" s="3" t="s">
        <v>9</v>
      </c>
      <c r="B5" s="3">
        <v>6500</v>
      </c>
      <c r="C5" s="3">
        <v>130</v>
      </c>
      <c r="D5" s="3">
        <v>6390</v>
      </c>
      <c r="E5" s="3">
        <v>128</v>
      </c>
      <c r="G5" s="1" t="s">
        <v>10</v>
      </c>
    </row>
    <row r="6" spans="1:7" ht="18.75" x14ac:dyDescent="0.25">
      <c r="A6" s="3" t="s">
        <v>11</v>
      </c>
      <c r="B6" s="3">
        <v>6250</v>
      </c>
      <c r="C6" s="3">
        <v>125</v>
      </c>
      <c r="D6" s="3">
        <v>6360</v>
      </c>
      <c r="E6" s="3">
        <v>127</v>
      </c>
      <c r="G6" s="1" t="s">
        <v>12</v>
      </c>
    </row>
    <row r="7" spans="1:7" ht="18.75" x14ac:dyDescent="0.25">
      <c r="A7" s="3" t="s">
        <v>13</v>
      </c>
      <c r="B7" s="3">
        <v>7390</v>
      </c>
      <c r="C7" s="3">
        <v>148</v>
      </c>
      <c r="D7" s="3">
        <v>7280</v>
      </c>
      <c r="E7" s="3">
        <v>146</v>
      </c>
      <c r="G7" s="1" t="s">
        <v>14</v>
      </c>
    </row>
    <row r="8" spans="1:7" ht="18.75" x14ac:dyDescent="0.25">
      <c r="A8" s="3" t="s">
        <v>15</v>
      </c>
      <c r="B8" s="3">
        <v>7360</v>
      </c>
      <c r="C8" s="3">
        <v>147</v>
      </c>
      <c r="D8" s="3">
        <v>7400</v>
      </c>
      <c r="E8" s="3">
        <v>148</v>
      </c>
    </row>
    <row r="9" spans="1:7" ht="18.75" x14ac:dyDescent="0.25">
      <c r="A9" s="3" t="s">
        <v>16</v>
      </c>
      <c r="B9" s="3">
        <v>6900</v>
      </c>
      <c r="C9" s="3">
        <v>138</v>
      </c>
      <c r="D9" s="3">
        <v>6800</v>
      </c>
      <c r="E9" s="3">
        <v>136</v>
      </c>
    </row>
    <row r="10" spans="1:7" ht="18.75" x14ac:dyDescent="0.25">
      <c r="A10" s="3" t="s">
        <v>17</v>
      </c>
      <c r="B10" s="3">
        <v>7150</v>
      </c>
      <c r="C10" s="3">
        <v>143</v>
      </c>
      <c r="D10" s="3">
        <v>7245</v>
      </c>
      <c r="E10" s="3">
        <v>145</v>
      </c>
    </row>
    <row r="11" spans="1:7" ht="18.75" x14ac:dyDescent="0.25">
      <c r="A11" s="3" t="s">
        <v>18</v>
      </c>
      <c r="B11" s="3">
        <v>6800</v>
      </c>
      <c r="C11" s="3">
        <v>136</v>
      </c>
      <c r="D11" s="3">
        <v>6860</v>
      </c>
      <c r="E11" s="3">
        <v>137</v>
      </c>
    </row>
    <row r="12" spans="1:7" ht="18.75" x14ac:dyDescent="0.25">
      <c r="A12" s="3" t="s">
        <v>19</v>
      </c>
      <c r="B12" s="3">
        <v>7050</v>
      </c>
      <c r="C12" s="3">
        <v>141</v>
      </c>
      <c r="D12" s="3">
        <v>6935</v>
      </c>
      <c r="E12" s="3">
        <v>139</v>
      </c>
    </row>
    <row r="13" spans="1:7" ht="18.75" x14ac:dyDescent="0.25">
      <c r="A13" s="3" t="s">
        <v>20</v>
      </c>
      <c r="B13" s="3">
        <v>6500</v>
      </c>
      <c r="C13" s="3">
        <v>130</v>
      </c>
      <c r="D13" s="3">
        <v>6610</v>
      </c>
      <c r="E13" s="3">
        <v>132</v>
      </c>
    </row>
    <row r="14" spans="1:7" ht="18.75" x14ac:dyDescent="0.25">
      <c r="A14" s="3" t="s">
        <v>21</v>
      </c>
      <c r="B14" s="3">
        <v>7300</v>
      </c>
      <c r="C14" s="3">
        <v>146</v>
      </c>
      <c r="D14" s="3">
        <v>7268</v>
      </c>
      <c r="E14" s="3">
        <v>145</v>
      </c>
    </row>
    <row r="15" spans="1:7" ht="18.75" x14ac:dyDescent="0.25">
      <c r="A15" s="3" t="s">
        <v>22</v>
      </c>
      <c r="B15" s="3">
        <v>6800</v>
      </c>
      <c r="C15" s="3">
        <v>136</v>
      </c>
      <c r="D15" s="3">
        <v>6760</v>
      </c>
      <c r="E15" s="3">
        <v>135</v>
      </c>
    </row>
    <row r="16" spans="1:7" ht="18.75" x14ac:dyDescent="0.3">
      <c r="A16" s="4" t="s">
        <v>23</v>
      </c>
      <c r="B16" s="3">
        <f>SUM(B4:B15)</f>
        <v>83260</v>
      </c>
      <c r="C16" s="3">
        <v>1665</v>
      </c>
      <c r="D16" s="5">
        <f t="shared" ref="D16" si="0">SUM(D4:D15)</f>
        <v>82953</v>
      </c>
      <c r="E16" s="5">
        <f>SUM(E4:E15)</f>
        <v>1659</v>
      </c>
    </row>
    <row r="18" spans="1:11" x14ac:dyDescent="0.25">
      <c r="A18" s="75" t="s">
        <v>24</v>
      </c>
      <c r="B18" s="75"/>
    </row>
    <row r="19" spans="1:11" x14ac:dyDescent="0.25">
      <c r="A19" s="6" t="s">
        <v>1</v>
      </c>
      <c r="B19" s="7" t="s">
        <v>25</v>
      </c>
      <c r="C19" s="6" t="s">
        <v>26</v>
      </c>
      <c r="D19" s="6" t="s">
        <v>27</v>
      </c>
      <c r="E19" s="8" t="s">
        <v>28</v>
      </c>
    </row>
    <row r="20" spans="1:11" ht="18.75" x14ac:dyDescent="0.25">
      <c r="A20" s="3" t="s">
        <v>7</v>
      </c>
      <c r="B20" s="9">
        <v>600000</v>
      </c>
      <c r="C20" s="9">
        <v>7500000</v>
      </c>
      <c r="D20" s="10">
        <v>200000</v>
      </c>
      <c r="E20" s="9">
        <f>SUM(B20:D20)</f>
        <v>8300000</v>
      </c>
    </row>
    <row r="21" spans="1:11" ht="18.75" x14ac:dyDescent="0.25">
      <c r="A21" s="3" t="s">
        <v>9</v>
      </c>
      <c r="B21" s="9">
        <v>600000</v>
      </c>
      <c r="C21" s="9">
        <v>7500000</v>
      </c>
      <c r="D21" s="10">
        <v>200000</v>
      </c>
      <c r="E21" s="9">
        <f t="shared" ref="E21:E31" si="1">SUM(B21:D21)</f>
        <v>8300000</v>
      </c>
    </row>
    <row r="22" spans="1:11" ht="18.75" x14ac:dyDescent="0.25">
      <c r="A22" s="3" t="s">
        <v>11</v>
      </c>
      <c r="B22" s="9">
        <v>600000</v>
      </c>
      <c r="C22" s="9">
        <v>7500000</v>
      </c>
      <c r="D22" s="10">
        <v>200000</v>
      </c>
      <c r="E22" s="9">
        <f t="shared" si="1"/>
        <v>8300000</v>
      </c>
    </row>
    <row r="23" spans="1:11" ht="18.75" x14ac:dyDescent="0.25">
      <c r="A23" s="3" t="s">
        <v>13</v>
      </c>
      <c r="B23" s="9">
        <v>600000</v>
      </c>
      <c r="C23" s="9">
        <v>7500000</v>
      </c>
      <c r="D23" s="10">
        <v>200000</v>
      </c>
      <c r="E23" s="9">
        <f t="shared" si="1"/>
        <v>8300000</v>
      </c>
    </row>
    <row r="24" spans="1:11" ht="18.75" x14ac:dyDescent="0.25">
      <c r="A24" s="3" t="s">
        <v>15</v>
      </c>
      <c r="B24" s="9">
        <v>600000</v>
      </c>
      <c r="C24" s="9">
        <v>7500000</v>
      </c>
      <c r="D24" s="10">
        <v>200000</v>
      </c>
      <c r="E24" s="9">
        <f t="shared" si="1"/>
        <v>8300000</v>
      </c>
    </row>
    <row r="25" spans="1:11" ht="18.75" x14ac:dyDescent="0.25">
      <c r="A25" s="3" t="s">
        <v>16</v>
      </c>
      <c r="B25" s="9">
        <v>600000</v>
      </c>
      <c r="C25" s="9">
        <v>7500000</v>
      </c>
      <c r="D25" s="10">
        <v>200000</v>
      </c>
      <c r="E25" s="9">
        <f t="shared" si="1"/>
        <v>8300000</v>
      </c>
      <c r="G25" s="76" t="s">
        <v>29</v>
      </c>
      <c r="H25" s="76"/>
      <c r="I25" s="76"/>
      <c r="J25" s="76"/>
      <c r="K25" s="76"/>
    </row>
    <row r="26" spans="1:11" ht="18.75" x14ac:dyDescent="0.25">
      <c r="A26" s="3" t="s">
        <v>17</v>
      </c>
      <c r="B26" s="9">
        <v>600000</v>
      </c>
      <c r="C26" s="9">
        <v>7500000</v>
      </c>
      <c r="D26" s="10">
        <v>200000</v>
      </c>
      <c r="E26" s="9">
        <f t="shared" si="1"/>
        <v>8300000</v>
      </c>
    </row>
    <row r="27" spans="1:11" ht="18.75" x14ac:dyDescent="0.25">
      <c r="A27" s="3" t="s">
        <v>18</v>
      </c>
      <c r="B27" s="9">
        <v>600000</v>
      </c>
      <c r="C27" s="9">
        <v>7500000</v>
      </c>
      <c r="D27" s="10">
        <v>200000</v>
      </c>
      <c r="E27" s="9">
        <f t="shared" si="1"/>
        <v>8300000</v>
      </c>
    </row>
    <row r="28" spans="1:11" ht="18.75" x14ac:dyDescent="0.25">
      <c r="A28" s="3" t="s">
        <v>19</v>
      </c>
      <c r="B28" s="9">
        <v>600000</v>
      </c>
      <c r="C28" s="9">
        <v>7500000</v>
      </c>
      <c r="D28" s="10">
        <v>200000</v>
      </c>
      <c r="E28" s="9">
        <f t="shared" si="1"/>
        <v>8300000</v>
      </c>
    </row>
    <row r="29" spans="1:11" ht="18.75" x14ac:dyDescent="0.25">
      <c r="A29" s="3" t="s">
        <v>20</v>
      </c>
      <c r="B29" s="9">
        <v>600000</v>
      </c>
      <c r="C29" s="9">
        <v>7500000</v>
      </c>
      <c r="D29" s="10">
        <v>200000</v>
      </c>
      <c r="E29" s="9">
        <f t="shared" si="1"/>
        <v>8300000</v>
      </c>
    </row>
    <row r="30" spans="1:11" ht="18.75" x14ac:dyDescent="0.25">
      <c r="A30" s="3" t="s">
        <v>21</v>
      </c>
      <c r="B30" s="9">
        <v>600000</v>
      </c>
      <c r="C30" s="9">
        <v>7500000</v>
      </c>
      <c r="D30" s="10">
        <v>200000</v>
      </c>
      <c r="E30" s="9">
        <f t="shared" si="1"/>
        <v>8300000</v>
      </c>
    </row>
    <row r="31" spans="1:11" ht="18.75" x14ac:dyDescent="0.25">
      <c r="A31" s="3" t="s">
        <v>22</v>
      </c>
      <c r="B31" s="9">
        <v>600000</v>
      </c>
      <c r="C31" s="9">
        <v>7500000</v>
      </c>
      <c r="D31" s="10">
        <v>200000</v>
      </c>
      <c r="E31" s="9">
        <f t="shared" si="1"/>
        <v>8300000</v>
      </c>
    </row>
    <row r="32" spans="1:11" x14ac:dyDescent="0.25">
      <c r="A32" s="11" t="s">
        <v>23</v>
      </c>
      <c r="B32" s="12">
        <f>SUM(B20:B31)</f>
        <v>7200000</v>
      </c>
      <c r="C32" s="12">
        <f t="shared" ref="C32:E32" si="2">SUM(C20:C31)</f>
        <v>90000000</v>
      </c>
      <c r="D32" s="12">
        <f t="shared" si="2"/>
        <v>2400000</v>
      </c>
      <c r="E32" s="12">
        <f t="shared" si="2"/>
        <v>99600000</v>
      </c>
      <c r="F32" s="13">
        <f>SUM(B32:E32)</f>
        <v>199200000</v>
      </c>
    </row>
    <row r="34" spans="1:13" x14ac:dyDescent="0.25">
      <c r="A34" s="75" t="s">
        <v>30</v>
      </c>
      <c r="B34" s="75"/>
    </row>
    <row r="35" spans="1:13" ht="16.5" thickBot="1" x14ac:dyDescent="0.3">
      <c r="A35" s="14" t="s">
        <v>1</v>
      </c>
      <c r="B35" s="14" t="s">
        <v>31</v>
      </c>
      <c r="C35" s="14" t="s">
        <v>32</v>
      </c>
      <c r="D35" s="14" t="s">
        <v>33</v>
      </c>
      <c r="E35" s="14" t="s">
        <v>28</v>
      </c>
    </row>
    <row r="36" spans="1:13" ht="31.5" x14ac:dyDescent="0.25">
      <c r="A36" s="3" t="s">
        <v>7</v>
      </c>
      <c r="B36" s="9">
        <v>1000000</v>
      </c>
      <c r="C36" s="9">
        <v>1200000</v>
      </c>
      <c r="D36" s="9">
        <v>450000</v>
      </c>
      <c r="E36" s="9">
        <f>SUM(B36:D36)</f>
        <v>2650000</v>
      </c>
      <c r="G36" s="15" t="s">
        <v>34</v>
      </c>
      <c r="H36" s="15" t="s">
        <v>35</v>
      </c>
      <c r="I36" s="15" t="s">
        <v>36</v>
      </c>
      <c r="J36" s="16" t="s">
        <v>37</v>
      </c>
      <c r="K36" s="15" t="s">
        <v>38</v>
      </c>
      <c r="L36" s="16" t="s">
        <v>39</v>
      </c>
    </row>
    <row r="37" spans="1:13" ht="19.5" thickBot="1" x14ac:dyDescent="0.3">
      <c r="A37" s="3" t="s">
        <v>9</v>
      </c>
      <c r="B37" s="9">
        <v>1000000</v>
      </c>
      <c r="C37" s="9">
        <v>1200000</v>
      </c>
      <c r="D37" s="9">
        <v>450000</v>
      </c>
      <c r="E37" s="9">
        <f t="shared" ref="E37:E47" si="3">SUM(B37:D37)</f>
        <v>2650000</v>
      </c>
      <c r="G37" s="17" t="s">
        <v>40</v>
      </c>
      <c r="H37" s="18">
        <v>31800000</v>
      </c>
      <c r="I37" s="19">
        <v>0.1</v>
      </c>
      <c r="J37" s="18">
        <v>3180000</v>
      </c>
      <c r="K37" s="18">
        <v>63600</v>
      </c>
      <c r="L37" s="18">
        <v>5300</v>
      </c>
    </row>
    <row r="38" spans="1:13" ht="18.75" x14ac:dyDescent="0.25">
      <c r="A38" s="3" t="s">
        <v>11</v>
      </c>
      <c r="B38" s="9">
        <v>1000000</v>
      </c>
      <c r="C38" s="9">
        <v>1200000</v>
      </c>
      <c r="D38" s="9">
        <v>450000</v>
      </c>
      <c r="E38" s="9">
        <f t="shared" si="3"/>
        <v>2650000</v>
      </c>
    </row>
    <row r="39" spans="1:13" ht="18.75" x14ac:dyDescent="0.25">
      <c r="A39" s="3" t="s">
        <v>13</v>
      </c>
      <c r="B39" s="9">
        <v>1000000</v>
      </c>
      <c r="C39" s="9">
        <v>1200000</v>
      </c>
      <c r="D39" s="9">
        <v>450000</v>
      </c>
      <c r="E39" s="9">
        <f t="shared" si="3"/>
        <v>2650000</v>
      </c>
    </row>
    <row r="40" spans="1:13" ht="18.75" x14ac:dyDescent="0.25">
      <c r="A40" s="3" t="s">
        <v>15</v>
      </c>
      <c r="B40" s="9">
        <v>1000000</v>
      </c>
      <c r="C40" s="9">
        <v>1200000</v>
      </c>
      <c r="D40" s="9">
        <v>450000</v>
      </c>
      <c r="E40" s="9">
        <f t="shared" si="3"/>
        <v>2650000</v>
      </c>
    </row>
    <row r="41" spans="1:13" ht="18.75" x14ac:dyDescent="0.25">
      <c r="A41" s="3" t="s">
        <v>16</v>
      </c>
      <c r="B41" s="9">
        <v>1000000</v>
      </c>
      <c r="C41" s="9">
        <v>1200000</v>
      </c>
      <c r="D41" s="9">
        <v>450000</v>
      </c>
      <c r="E41" s="9">
        <f t="shared" si="3"/>
        <v>2650000</v>
      </c>
      <c r="G41" s="77" t="s">
        <v>41</v>
      </c>
      <c r="H41" s="77"/>
      <c r="I41" s="77"/>
      <c r="J41" s="77"/>
    </row>
    <row r="42" spans="1:13" ht="18.75" x14ac:dyDescent="0.25">
      <c r="A42" s="3" t="s">
        <v>17</v>
      </c>
      <c r="B42" s="9">
        <v>1000000</v>
      </c>
      <c r="C42" s="9">
        <v>1200000</v>
      </c>
      <c r="D42" s="9">
        <v>450000</v>
      </c>
      <c r="E42" s="9">
        <f t="shared" si="3"/>
        <v>2650000</v>
      </c>
      <c r="G42" s="1" t="s">
        <v>42</v>
      </c>
    </row>
    <row r="43" spans="1:13" ht="18.75" x14ac:dyDescent="0.25">
      <c r="A43" s="3" t="s">
        <v>18</v>
      </c>
      <c r="B43" s="9">
        <v>1000000</v>
      </c>
      <c r="C43" s="9">
        <v>1200000</v>
      </c>
      <c r="D43" s="9">
        <v>450000</v>
      </c>
      <c r="E43" s="9">
        <f t="shared" si="3"/>
        <v>2650000</v>
      </c>
    </row>
    <row r="44" spans="1:13" ht="18.75" x14ac:dyDescent="0.25">
      <c r="A44" s="3" t="s">
        <v>19</v>
      </c>
      <c r="B44" s="9">
        <v>1000000</v>
      </c>
      <c r="C44" s="9">
        <v>1200000</v>
      </c>
      <c r="D44" s="9">
        <v>450000</v>
      </c>
      <c r="E44" s="9">
        <f t="shared" si="3"/>
        <v>2650000</v>
      </c>
    </row>
    <row r="45" spans="1:13" ht="18.75" x14ac:dyDescent="0.25">
      <c r="A45" s="3" t="s">
        <v>20</v>
      </c>
      <c r="B45" s="9">
        <v>1000000</v>
      </c>
      <c r="C45" s="9">
        <v>1200000</v>
      </c>
      <c r="D45" s="9">
        <v>450000</v>
      </c>
      <c r="E45" s="9">
        <f t="shared" si="3"/>
        <v>2650000</v>
      </c>
    </row>
    <row r="46" spans="1:13" ht="18.75" x14ac:dyDescent="0.25">
      <c r="A46" s="3" t="s">
        <v>21</v>
      </c>
      <c r="B46" s="9">
        <v>1000000</v>
      </c>
      <c r="C46" s="9">
        <v>1200000</v>
      </c>
      <c r="D46" s="9">
        <v>450000</v>
      </c>
      <c r="E46" s="9">
        <f t="shared" si="3"/>
        <v>2650000</v>
      </c>
      <c r="I46" s="20"/>
      <c r="J46" s="21"/>
      <c r="K46" s="21"/>
      <c r="L46" s="21"/>
      <c r="M46" s="22"/>
    </row>
    <row r="47" spans="1:13" ht="18.75" x14ac:dyDescent="0.25">
      <c r="A47" s="3" t="s">
        <v>22</v>
      </c>
      <c r="B47" s="9">
        <v>1000000</v>
      </c>
      <c r="C47" s="9">
        <v>1200000</v>
      </c>
      <c r="D47" s="9">
        <v>450000</v>
      </c>
      <c r="E47" s="9">
        <f t="shared" si="3"/>
        <v>2650000</v>
      </c>
      <c r="I47" s="23"/>
      <c r="M47" s="24"/>
    </row>
    <row r="48" spans="1:13" x14ac:dyDescent="0.25">
      <c r="A48" s="14" t="s">
        <v>43</v>
      </c>
      <c r="B48" s="12">
        <f>SUM(B36:B47)</f>
        <v>12000000</v>
      </c>
      <c r="C48" s="12">
        <f>SUM(C36:C47)</f>
        <v>14400000</v>
      </c>
      <c r="D48" s="12">
        <f>SUM(D36:D47)</f>
        <v>5400000</v>
      </c>
      <c r="E48" s="12">
        <f>SUM(E36:E47)</f>
        <v>31800000</v>
      </c>
      <c r="I48" s="23"/>
      <c r="J48" s="1">
        <f>1659/437</f>
        <v>3.7963386727688788</v>
      </c>
      <c r="K48" s="25">
        <f>J48*6050000</f>
        <v>22967848.970251717</v>
      </c>
      <c r="M48" s="24"/>
    </row>
    <row r="49" spans="1:13" x14ac:dyDescent="0.25">
      <c r="I49" s="23"/>
      <c r="J49" s="1">
        <f>437/2</f>
        <v>218.5</v>
      </c>
      <c r="K49" s="1">
        <f>J49*4200</f>
        <v>917700</v>
      </c>
      <c r="M49" s="24"/>
    </row>
    <row r="50" spans="1:13" x14ac:dyDescent="0.25">
      <c r="A50" s="1" t="s">
        <v>44</v>
      </c>
      <c r="I50" s="23"/>
      <c r="K50" s="25">
        <f>K48+K49</f>
        <v>23885548.970251717</v>
      </c>
      <c r="M50" s="24"/>
    </row>
    <row r="51" spans="1:13" x14ac:dyDescent="0.25">
      <c r="A51" s="26" t="s">
        <v>34</v>
      </c>
      <c r="B51" s="26" t="s">
        <v>35</v>
      </c>
      <c r="C51" s="26" t="s">
        <v>36</v>
      </c>
      <c r="D51" s="27" t="s">
        <v>37</v>
      </c>
      <c r="E51" s="26" t="s">
        <v>45</v>
      </c>
      <c r="F51" s="27" t="s">
        <v>46</v>
      </c>
      <c r="I51" s="23"/>
      <c r="M51" s="24"/>
    </row>
    <row r="52" spans="1:13" ht="16.5" thickBot="1" x14ac:dyDescent="0.3">
      <c r="A52" s="28" t="s">
        <v>47</v>
      </c>
      <c r="B52" s="18">
        <v>31800000</v>
      </c>
      <c r="C52" s="29">
        <v>0.1</v>
      </c>
      <c r="D52" s="30">
        <f>B52*C52</f>
        <v>3180000</v>
      </c>
      <c r="E52" s="30">
        <f>D52/50</f>
        <v>63600</v>
      </c>
      <c r="F52" s="30">
        <f>E52/12</f>
        <v>5300</v>
      </c>
      <c r="I52" s="31"/>
      <c r="J52" s="32"/>
      <c r="K52" s="32"/>
      <c r="L52" s="32"/>
      <c r="M52" s="33"/>
    </row>
    <row r="54" spans="1:13" x14ac:dyDescent="0.25">
      <c r="A54" s="1" t="s">
        <v>48</v>
      </c>
    </row>
    <row r="55" spans="1:13" x14ac:dyDescent="0.25">
      <c r="A55" s="34" t="s">
        <v>1</v>
      </c>
      <c r="B55" s="34" t="s">
        <v>49</v>
      </c>
      <c r="C55" s="34" t="s">
        <v>50</v>
      </c>
      <c r="D55" s="34" t="s">
        <v>51</v>
      </c>
      <c r="E55" s="34" t="s">
        <v>52</v>
      </c>
      <c r="F55" s="34" t="s">
        <v>53</v>
      </c>
      <c r="G55" s="34" t="s">
        <v>54</v>
      </c>
    </row>
    <row r="56" spans="1:13" ht="18.75" x14ac:dyDescent="0.25">
      <c r="A56" s="35" t="s">
        <v>7</v>
      </c>
      <c r="B56" s="35">
        <v>141</v>
      </c>
      <c r="C56" s="35">
        <v>145</v>
      </c>
      <c r="D56" s="36">
        <f>C56-B56</f>
        <v>4</v>
      </c>
      <c r="E56" s="37">
        <v>8000000</v>
      </c>
      <c r="F56" s="37">
        <f>$F$52*D56</f>
        <v>21200</v>
      </c>
      <c r="G56" s="37">
        <f>E56+F56</f>
        <v>8021200</v>
      </c>
    </row>
    <row r="57" spans="1:13" ht="18.75" x14ac:dyDescent="0.25">
      <c r="A57" s="35" t="s">
        <v>9</v>
      </c>
      <c r="B57" s="35">
        <v>128</v>
      </c>
      <c r="C57" s="35">
        <v>130</v>
      </c>
      <c r="D57" s="36">
        <f>D56+C57-B57</f>
        <v>6</v>
      </c>
      <c r="E57" s="37">
        <v>8000000</v>
      </c>
      <c r="F57" s="37">
        <f>$F$52*D57</f>
        <v>31800</v>
      </c>
      <c r="G57" s="37">
        <f t="shared" ref="G57:G64" si="4">G56+E57+F57</f>
        <v>16053000</v>
      </c>
    </row>
    <row r="58" spans="1:13" ht="18.75" x14ac:dyDescent="0.25">
      <c r="A58" s="35" t="s">
        <v>11</v>
      </c>
      <c r="B58" s="35">
        <v>127</v>
      </c>
      <c r="C58" s="35">
        <v>125</v>
      </c>
      <c r="D58" s="36">
        <f>D57+C58-B58</f>
        <v>4</v>
      </c>
      <c r="E58" s="37">
        <v>8000000</v>
      </c>
      <c r="F58" s="37">
        <f t="shared" ref="F58:F67" si="5">$F$52*D58</f>
        <v>21200</v>
      </c>
      <c r="G58" s="37">
        <f t="shared" si="4"/>
        <v>24074200</v>
      </c>
    </row>
    <row r="59" spans="1:13" ht="18.75" x14ac:dyDescent="0.25">
      <c r="A59" s="35" t="s">
        <v>13</v>
      </c>
      <c r="B59" s="35">
        <v>146</v>
      </c>
      <c r="C59" s="35">
        <v>148</v>
      </c>
      <c r="D59" s="36">
        <f>D58+C59-B59</f>
        <v>6</v>
      </c>
      <c r="E59" s="37">
        <v>8000000</v>
      </c>
      <c r="F59" s="37">
        <f t="shared" si="5"/>
        <v>31800</v>
      </c>
      <c r="G59" s="37">
        <f t="shared" si="4"/>
        <v>32106000</v>
      </c>
      <c r="I59" s="77" t="s">
        <v>55</v>
      </c>
      <c r="J59" s="77"/>
      <c r="K59" s="77"/>
      <c r="L59" s="77"/>
    </row>
    <row r="60" spans="1:13" ht="18.75" x14ac:dyDescent="0.25">
      <c r="A60" s="35" t="s">
        <v>15</v>
      </c>
      <c r="B60" s="35">
        <v>148</v>
      </c>
      <c r="C60" s="35">
        <v>147</v>
      </c>
      <c r="D60" s="36">
        <f>D59+C60-B60</f>
        <v>5</v>
      </c>
      <c r="E60" s="37">
        <v>8000000</v>
      </c>
      <c r="F60" s="37">
        <f t="shared" si="5"/>
        <v>26500</v>
      </c>
      <c r="G60" s="37">
        <f t="shared" si="4"/>
        <v>40132500</v>
      </c>
      <c r="I60" s="76">
        <v>107614650</v>
      </c>
      <c r="J60" s="76"/>
    </row>
    <row r="61" spans="1:13" ht="18.75" x14ac:dyDescent="0.25">
      <c r="A61" s="35" t="s">
        <v>16</v>
      </c>
      <c r="B61" s="35">
        <v>136</v>
      </c>
      <c r="C61" s="35">
        <v>138</v>
      </c>
      <c r="D61" s="38">
        <f>D60+C61-B61</f>
        <v>7</v>
      </c>
      <c r="E61" s="37">
        <v>8000000</v>
      </c>
      <c r="F61" s="37">
        <f t="shared" si="5"/>
        <v>37100</v>
      </c>
      <c r="G61" s="37">
        <f t="shared" si="4"/>
        <v>48169600</v>
      </c>
    </row>
    <row r="62" spans="1:13" ht="18.75" x14ac:dyDescent="0.25">
      <c r="A62" s="35" t="s">
        <v>17</v>
      </c>
      <c r="B62" s="35">
        <v>145</v>
      </c>
      <c r="C62" s="35">
        <v>143</v>
      </c>
      <c r="D62" s="36">
        <f t="shared" ref="D62:D67" si="6">D61+C62-B62</f>
        <v>5</v>
      </c>
      <c r="E62" s="37">
        <v>8000000</v>
      </c>
      <c r="F62" s="37">
        <f t="shared" si="5"/>
        <v>26500</v>
      </c>
      <c r="G62" s="37">
        <f t="shared" si="4"/>
        <v>56196100</v>
      </c>
      <c r="I62" s="1" t="s">
        <v>56</v>
      </c>
      <c r="J62" s="39">
        <v>1659</v>
      </c>
    </row>
    <row r="63" spans="1:13" ht="18.75" x14ac:dyDescent="0.25">
      <c r="A63" s="35" t="s">
        <v>18</v>
      </c>
      <c r="B63" s="35">
        <v>137</v>
      </c>
      <c r="C63" s="35">
        <v>136</v>
      </c>
      <c r="D63" s="36">
        <f t="shared" si="6"/>
        <v>4</v>
      </c>
      <c r="E63" s="37">
        <v>8000000</v>
      </c>
      <c r="F63" s="37">
        <f t="shared" si="5"/>
        <v>21200</v>
      </c>
      <c r="G63" s="37">
        <f t="shared" si="4"/>
        <v>64217300</v>
      </c>
      <c r="I63" s="1" t="s">
        <v>57</v>
      </c>
      <c r="J63" s="13">
        <v>8000000</v>
      </c>
      <c r="K63" s="13">
        <f>2*J62*J63</f>
        <v>26544000000</v>
      </c>
    </row>
    <row r="64" spans="1:13" ht="18.75" x14ac:dyDescent="0.25">
      <c r="A64" s="35" t="s">
        <v>19</v>
      </c>
      <c r="B64" s="35">
        <v>139</v>
      </c>
      <c r="C64" s="35">
        <v>141</v>
      </c>
      <c r="D64" s="36">
        <f t="shared" si="6"/>
        <v>6</v>
      </c>
      <c r="E64" s="37">
        <v>8000000</v>
      </c>
      <c r="F64" s="37">
        <f t="shared" si="5"/>
        <v>31800</v>
      </c>
      <c r="G64" s="37">
        <f t="shared" si="4"/>
        <v>72249100</v>
      </c>
      <c r="I64" s="1" t="s">
        <v>58</v>
      </c>
      <c r="J64" s="13">
        <v>63600</v>
      </c>
      <c r="K64" s="1">
        <f>K63/J64</f>
        <v>417358.49056603771</v>
      </c>
    </row>
    <row r="65" spans="1:16" ht="18.75" x14ac:dyDescent="0.25">
      <c r="A65" s="35" t="s">
        <v>20</v>
      </c>
      <c r="B65" s="35">
        <v>132</v>
      </c>
      <c r="C65" s="35">
        <v>130</v>
      </c>
      <c r="D65" s="36">
        <f t="shared" si="6"/>
        <v>4</v>
      </c>
      <c r="E65" s="37">
        <v>8000000</v>
      </c>
      <c r="F65" s="37">
        <f t="shared" si="5"/>
        <v>21200</v>
      </c>
      <c r="G65" s="37">
        <f>G64+E65+F65</f>
        <v>80270300</v>
      </c>
      <c r="K65" s="40">
        <f>SQRT(K64)</f>
        <v>646.03288659791747</v>
      </c>
    </row>
    <row r="66" spans="1:16" ht="18.75" x14ac:dyDescent="0.25">
      <c r="A66" s="35" t="s">
        <v>21</v>
      </c>
      <c r="B66" s="35">
        <v>145</v>
      </c>
      <c r="C66" s="35">
        <v>146</v>
      </c>
      <c r="D66" s="36">
        <f t="shared" si="6"/>
        <v>5</v>
      </c>
      <c r="E66" s="37">
        <v>8000000</v>
      </c>
      <c r="F66" s="37">
        <f t="shared" si="5"/>
        <v>26500</v>
      </c>
      <c r="G66" s="37">
        <f>G65+E66+F66</f>
        <v>88296800</v>
      </c>
      <c r="K66" s="41">
        <f>J62/K65</f>
        <v>2.5679807242267221</v>
      </c>
    </row>
    <row r="67" spans="1:16" ht="18.75" x14ac:dyDescent="0.25">
      <c r="A67" s="35" t="s">
        <v>22</v>
      </c>
      <c r="B67" s="35">
        <v>135</v>
      </c>
      <c r="C67" s="35">
        <v>136</v>
      </c>
      <c r="D67" s="36">
        <f t="shared" si="6"/>
        <v>6</v>
      </c>
      <c r="E67" s="37">
        <v>8000000</v>
      </c>
      <c r="F67" s="37">
        <f t="shared" si="5"/>
        <v>31800</v>
      </c>
      <c r="G67" s="42">
        <f>G66+E67+F67</f>
        <v>96328600</v>
      </c>
      <c r="I67" s="1" t="s">
        <v>59</v>
      </c>
    </row>
    <row r="68" spans="1:16" ht="18.75" x14ac:dyDescent="0.25">
      <c r="A68" s="43" t="s">
        <v>60</v>
      </c>
      <c r="B68" s="44">
        <f>SUM(B56:B67)</f>
        <v>1659</v>
      </c>
      <c r="C68" s="45">
        <v>1665</v>
      </c>
      <c r="D68" s="43"/>
      <c r="E68" s="46">
        <f>SUM(E56:E67)</f>
        <v>96000000</v>
      </c>
      <c r="F68" s="46">
        <f>SUM(F56:F67)</f>
        <v>328600</v>
      </c>
      <c r="G68" s="46"/>
    </row>
    <row r="70" spans="1:16" x14ac:dyDescent="0.25">
      <c r="D70" s="1" t="s">
        <v>61</v>
      </c>
      <c r="F70" s="1" t="s">
        <v>62</v>
      </c>
      <c r="I70" s="1" t="s">
        <v>59</v>
      </c>
    </row>
    <row r="71" spans="1:16" x14ac:dyDescent="0.25">
      <c r="D71" s="1" t="s">
        <v>63</v>
      </c>
      <c r="F71" s="1" t="s">
        <v>64</v>
      </c>
      <c r="P71" s="39"/>
    </row>
    <row r="73" spans="1:16" x14ac:dyDescent="0.25">
      <c r="D73" s="1" t="s">
        <v>63</v>
      </c>
      <c r="F73" s="1" t="s">
        <v>65</v>
      </c>
      <c r="I73" s="1" t="s">
        <v>59</v>
      </c>
    </row>
    <row r="75" spans="1:16" x14ac:dyDescent="0.25">
      <c r="D75" s="1" t="s">
        <v>66</v>
      </c>
      <c r="F75" s="1" t="s">
        <v>67</v>
      </c>
    </row>
    <row r="76" spans="1:16" x14ac:dyDescent="0.25">
      <c r="A76" s="1" t="s">
        <v>68</v>
      </c>
      <c r="I76" s="1" t="s">
        <v>69</v>
      </c>
    </row>
    <row r="77" spans="1:16" x14ac:dyDescent="0.25">
      <c r="A77" s="34" t="s">
        <v>1</v>
      </c>
      <c r="B77" s="47" t="s">
        <v>70</v>
      </c>
      <c r="C77" s="34" t="s">
        <v>71</v>
      </c>
      <c r="D77" s="47" t="s">
        <v>72</v>
      </c>
      <c r="E77" s="47" t="s">
        <v>52</v>
      </c>
      <c r="F77" s="47" t="s">
        <v>53</v>
      </c>
      <c r="G77" s="47" t="s">
        <v>54</v>
      </c>
    </row>
    <row r="78" spans="1:16" ht="18.75" x14ac:dyDescent="0.25">
      <c r="A78" s="35" t="s">
        <v>7</v>
      </c>
      <c r="B78" s="35">
        <v>141</v>
      </c>
      <c r="C78" s="38">
        <v>646</v>
      </c>
      <c r="D78" s="38">
        <f>C78-B78</f>
        <v>505</v>
      </c>
      <c r="E78" s="37">
        <v>8000000</v>
      </c>
      <c r="F78" s="37">
        <f>$F$52*D78</f>
        <v>2676500</v>
      </c>
      <c r="G78" s="37">
        <f>E78+F78</f>
        <v>10676500</v>
      </c>
      <c r="I78" s="1" t="s">
        <v>59</v>
      </c>
      <c r="J78" s="1" t="s">
        <v>73</v>
      </c>
    </row>
    <row r="79" spans="1:16" ht="18.75" x14ac:dyDescent="0.25">
      <c r="A79" s="35" t="s">
        <v>9</v>
      </c>
      <c r="B79" s="35">
        <v>128</v>
      </c>
      <c r="C79" s="38">
        <v>0</v>
      </c>
      <c r="D79" s="38">
        <f>D78-B79</f>
        <v>377</v>
      </c>
      <c r="E79" s="37">
        <v>0</v>
      </c>
      <c r="F79" s="37">
        <f>$F$52*D79</f>
        <v>1998100</v>
      </c>
      <c r="G79" s="37">
        <f t="shared" ref="G79:G84" si="7">G78+F79</f>
        <v>12674600</v>
      </c>
    </row>
    <row r="80" spans="1:16" ht="18.75" x14ac:dyDescent="0.25">
      <c r="A80" s="35" t="s">
        <v>11</v>
      </c>
      <c r="B80" s="35">
        <v>127</v>
      </c>
      <c r="C80" s="38">
        <v>0</v>
      </c>
      <c r="D80" s="38">
        <f>D79-B80</f>
        <v>250</v>
      </c>
      <c r="E80" s="37">
        <v>0</v>
      </c>
      <c r="F80" s="37">
        <f>$F$52*D80</f>
        <v>1325000</v>
      </c>
      <c r="G80" s="37">
        <f t="shared" si="7"/>
        <v>13999600</v>
      </c>
    </row>
    <row r="81" spans="1:7" ht="18.75" x14ac:dyDescent="0.25">
      <c r="A81" s="35" t="s">
        <v>13</v>
      </c>
      <c r="B81" s="35">
        <v>146</v>
      </c>
      <c r="C81" s="38">
        <v>0</v>
      </c>
      <c r="D81" s="38">
        <f>D80-B81</f>
        <v>104</v>
      </c>
      <c r="E81" s="37">
        <v>0</v>
      </c>
      <c r="F81" s="37">
        <f t="shared" ref="F81:F89" si="8">$F$52*D81</f>
        <v>551200</v>
      </c>
      <c r="G81" s="37">
        <f t="shared" si="7"/>
        <v>14550800</v>
      </c>
    </row>
    <row r="82" spans="1:7" ht="18.75" x14ac:dyDescent="0.25">
      <c r="A82" s="35" t="s">
        <v>15</v>
      </c>
      <c r="B82" s="35">
        <v>148</v>
      </c>
      <c r="C82" s="38">
        <v>646</v>
      </c>
      <c r="D82" s="38">
        <f>D81+C82-B82</f>
        <v>602</v>
      </c>
      <c r="E82" s="37">
        <v>8000000</v>
      </c>
      <c r="F82" s="37">
        <f t="shared" si="8"/>
        <v>3190600</v>
      </c>
      <c r="G82" s="37">
        <f>G81+F82</f>
        <v>17741400</v>
      </c>
    </row>
    <row r="83" spans="1:7" ht="18.75" x14ac:dyDescent="0.25">
      <c r="A83" s="35" t="s">
        <v>16</v>
      </c>
      <c r="B83" s="35">
        <v>136</v>
      </c>
      <c r="C83" s="38">
        <v>0</v>
      </c>
      <c r="D83" s="38">
        <f>D82-B83</f>
        <v>466</v>
      </c>
      <c r="E83" s="37">
        <v>0</v>
      </c>
      <c r="F83" s="37">
        <f t="shared" si="8"/>
        <v>2469800</v>
      </c>
      <c r="G83" s="37">
        <f t="shared" si="7"/>
        <v>20211200</v>
      </c>
    </row>
    <row r="84" spans="1:7" ht="18.75" x14ac:dyDescent="0.25">
      <c r="A84" s="35" t="s">
        <v>17</v>
      </c>
      <c r="B84" s="35">
        <v>145</v>
      </c>
      <c r="C84" s="38">
        <v>0</v>
      </c>
      <c r="D84" s="38">
        <f>D83-B84</f>
        <v>321</v>
      </c>
      <c r="E84" s="37">
        <v>0</v>
      </c>
      <c r="F84" s="37">
        <f t="shared" si="8"/>
        <v>1701300</v>
      </c>
      <c r="G84" s="37">
        <f t="shared" si="7"/>
        <v>21912500</v>
      </c>
    </row>
    <row r="85" spans="1:7" ht="18.75" x14ac:dyDescent="0.25">
      <c r="A85" s="35" t="s">
        <v>18</v>
      </c>
      <c r="B85" s="35">
        <v>137</v>
      </c>
      <c r="C85" s="36">
        <v>0</v>
      </c>
      <c r="D85" s="38">
        <f>D84+C85-B85</f>
        <v>184</v>
      </c>
      <c r="E85" s="37">
        <v>8000000</v>
      </c>
      <c r="F85" s="37">
        <f t="shared" si="8"/>
        <v>975200</v>
      </c>
      <c r="G85" s="37">
        <f>G84+E85+F85</f>
        <v>30887700</v>
      </c>
    </row>
    <row r="86" spans="1:7" ht="18.75" x14ac:dyDescent="0.25">
      <c r="A86" s="35" t="s">
        <v>19</v>
      </c>
      <c r="B86" s="35">
        <v>139</v>
      </c>
      <c r="C86" s="36">
        <v>0</v>
      </c>
      <c r="D86" s="38">
        <f>D85-B86</f>
        <v>45</v>
      </c>
      <c r="E86" s="37">
        <v>0</v>
      </c>
      <c r="F86" s="37">
        <f t="shared" si="8"/>
        <v>238500</v>
      </c>
      <c r="G86" s="37">
        <f>G85+F86</f>
        <v>31126200</v>
      </c>
    </row>
    <row r="87" spans="1:7" ht="18.75" x14ac:dyDescent="0.25">
      <c r="A87" s="35" t="s">
        <v>20</v>
      </c>
      <c r="B87" s="35">
        <v>132</v>
      </c>
      <c r="C87" s="36">
        <v>646</v>
      </c>
      <c r="D87" s="38">
        <f>D86+C87-B87</f>
        <v>559</v>
      </c>
      <c r="E87" s="37">
        <v>0</v>
      </c>
      <c r="F87" s="37">
        <f t="shared" si="8"/>
        <v>2962700</v>
      </c>
      <c r="G87" s="37">
        <f>G86+F87</f>
        <v>34088900</v>
      </c>
    </row>
    <row r="88" spans="1:7" ht="18.75" x14ac:dyDescent="0.25">
      <c r="A88" s="35" t="s">
        <v>21</v>
      </c>
      <c r="B88" s="35">
        <v>145</v>
      </c>
      <c r="C88" s="36">
        <v>0</v>
      </c>
      <c r="D88" s="38">
        <f>D87-B88</f>
        <v>414</v>
      </c>
      <c r="E88" s="37">
        <v>0</v>
      </c>
      <c r="F88" s="37">
        <f t="shared" si="8"/>
        <v>2194200</v>
      </c>
      <c r="G88" s="37">
        <f>G87+F88</f>
        <v>36283100</v>
      </c>
    </row>
    <row r="89" spans="1:7" ht="18.75" x14ac:dyDescent="0.25">
      <c r="A89" s="45" t="s">
        <v>22</v>
      </c>
      <c r="B89" s="45">
        <v>135</v>
      </c>
      <c r="C89" s="48">
        <v>0</v>
      </c>
      <c r="D89" s="49">
        <f>D88-B89</f>
        <v>279</v>
      </c>
      <c r="E89" s="50">
        <v>0</v>
      </c>
      <c r="F89" s="50">
        <f t="shared" si="8"/>
        <v>1478700</v>
      </c>
      <c r="G89" s="51">
        <f>G88+F89</f>
        <v>37761800</v>
      </c>
    </row>
    <row r="90" spans="1:7" x14ac:dyDescent="0.25">
      <c r="B90" s="52">
        <f>AVERAGE(B78:B89)</f>
        <v>138.25</v>
      </c>
      <c r="D90" s="52"/>
      <c r="E90" s="13">
        <f>SUM(E78:E89)</f>
        <v>24000000</v>
      </c>
      <c r="F90" s="13">
        <f>SUM(F78:F89)</f>
        <v>21761800</v>
      </c>
      <c r="G90" s="13">
        <f>E90+F90</f>
        <v>45761800</v>
      </c>
    </row>
    <row r="92" spans="1:7" x14ac:dyDescent="0.25">
      <c r="A92" s="1" t="s">
        <v>74</v>
      </c>
    </row>
    <row r="93" spans="1:7" x14ac:dyDescent="0.25">
      <c r="A93" s="78" t="s">
        <v>75</v>
      </c>
      <c r="B93" s="78"/>
      <c r="C93" s="78" t="s">
        <v>76</v>
      </c>
      <c r="D93" s="78"/>
    </row>
    <row r="94" spans="1:7" x14ac:dyDescent="0.25">
      <c r="A94" s="1" t="s">
        <v>52</v>
      </c>
      <c r="B94" s="13">
        <v>99600000</v>
      </c>
      <c r="C94" s="1" t="s">
        <v>52</v>
      </c>
      <c r="D94" s="13">
        <v>24000000</v>
      </c>
    </row>
    <row r="95" spans="1:7" x14ac:dyDescent="0.25">
      <c r="A95" s="1" t="s">
        <v>53</v>
      </c>
      <c r="B95" s="13">
        <v>328600</v>
      </c>
      <c r="C95" s="1" t="s">
        <v>53</v>
      </c>
      <c r="D95" s="13">
        <v>21761800</v>
      </c>
    </row>
    <row r="96" spans="1:7" x14ac:dyDescent="0.25">
      <c r="A96" s="32" t="s">
        <v>54</v>
      </c>
      <c r="B96" s="30">
        <f>B94+B95</f>
        <v>99928600</v>
      </c>
      <c r="C96" s="32" t="s">
        <v>54</v>
      </c>
      <c r="D96" s="30">
        <f>D94+D95</f>
        <v>45761800</v>
      </c>
    </row>
    <row r="97" spans="1:11" x14ac:dyDescent="0.25">
      <c r="C97" s="13">
        <f>B96-D96</f>
        <v>54166800</v>
      </c>
      <c r="D97" s="53">
        <f>((B96-D96)/B96)*100%</f>
        <v>0.54205502728948474</v>
      </c>
      <c r="E97" s="13">
        <f>B96-D96</f>
        <v>54166800</v>
      </c>
      <c r="F97" s="1">
        <f>E97/B96</f>
        <v>0.54205502728948474</v>
      </c>
      <c r="G97" s="54">
        <v>1</v>
      </c>
    </row>
    <row r="98" spans="1:11" x14ac:dyDescent="0.25">
      <c r="G98" s="41">
        <f>F97*G97</f>
        <v>0.54205502728948474</v>
      </c>
    </row>
    <row r="99" spans="1:11" x14ac:dyDescent="0.25">
      <c r="D99" s="1" t="s">
        <v>77</v>
      </c>
    </row>
    <row r="100" spans="1:11" x14ac:dyDescent="0.25">
      <c r="C100" s="13"/>
    </row>
    <row r="102" spans="1:11" ht="18.75" x14ac:dyDescent="0.25">
      <c r="A102" s="1" t="s">
        <v>78</v>
      </c>
      <c r="D102" s="35">
        <v>141</v>
      </c>
      <c r="E102" s="1">
        <v>138</v>
      </c>
      <c r="F102" s="52">
        <f>D102-E102</f>
        <v>3</v>
      </c>
      <c r="G102" s="52">
        <f>D102-E102</f>
        <v>3</v>
      </c>
      <c r="H102" s="1">
        <f>F102*G102</f>
        <v>9</v>
      </c>
      <c r="J102" s="1">
        <f>_xlfn.STDEV.S(D109:D110)</f>
        <v>1.4142135623730951</v>
      </c>
    </row>
    <row r="103" spans="1:11" ht="18.75" x14ac:dyDescent="0.25">
      <c r="A103" s="1" t="s">
        <v>79</v>
      </c>
      <c r="D103" s="35">
        <v>128</v>
      </c>
      <c r="E103" s="1">
        <v>138</v>
      </c>
      <c r="F103" s="52">
        <f t="shared" ref="F103:F113" si="9">D103-E103</f>
        <v>-10</v>
      </c>
      <c r="G103" s="52">
        <f t="shared" ref="G103:G113" si="10">D103-E103</f>
        <v>-10</v>
      </c>
      <c r="H103" s="1">
        <f t="shared" ref="H103:H113" si="11">F103*G103</f>
        <v>100</v>
      </c>
      <c r="J103" s="1">
        <f>_xlfn.STDEV.S(D102:D111)</f>
        <v>7.3401483484857293</v>
      </c>
    </row>
    <row r="104" spans="1:11" ht="18.75" x14ac:dyDescent="0.25">
      <c r="A104" s="1" t="s">
        <v>80</v>
      </c>
      <c r="D104" s="35">
        <v>127</v>
      </c>
      <c r="E104" s="1">
        <v>138</v>
      </c>
      <c r="F104" s="52">
        <f t="shared" si="9"/>
        <v>-11</v>
      </c>
      <c r="G104" s="52">
        <f t="shared" si="10"/>
        <v>-11</v>
      </c>
      <c r="H104" s="1">
        <f t="shared" si="11"/>
        <v>121</v>
      </c>
      <c r="J104" s="1">
        <f>_xlfn.STDEV.S(D109:D113)</f>
        <v>4.8785243670601872</v>
      </c>
    </row>
    <row r="105" spans="1:11" ht="18.75" x14ac:dyDescent="0.25">
      <c r="A105" s="1" t="s">
        <v>81</v>
      </c>
      <c r="D105" s="35">
        <v>146</v>
      </c>
      <c r="E105" s="1">
        <v>138</v>
      </c>
      <c r="F105" s="52">
        <f t="shared" si="9"/>
        <v>8</v>
      </c>
      <c r="G105" s="52">
        <f t="shared" si="10"/>
        <v>8</v>
      </c>
      <c r="H105" s="1">
        <f t="shared" si="11"/>
        <v>64</v>
      </c>
      <c r="J105" s="1">
        <f>_xlfn.STDEV.S(D104:D108)</f>
        <v>8.7920418561333076</v>
      </c>
    </row>
    <row r="106" spans="1:11" ht="18.75" x14ac:dyDescent="0.25">
      <c r="A106" s="1" t="s">
        <v>82</v>
      </c>
      <c r="D106" s="35">
        <v>148</v>
      </c>
      <c r="E106" s="1">
        <v>138</v>
      </c>
      <c r="F106" s="52">
        <f t="shared" si="9"/>
        <v>10</v>
      </c>
      <c r="G106" s="52">
        <f t="shared" si="10"/>
        <v>10</v>
      </c>
      <c r="H106" s="1">
        <f t="shared" si="11"/>
        <v>100</v>
      </c>
      <c r="J106" s="1">
        <f>_xlfn.STDEV.S(D107:D111)</f>
        <v>4.7644516998286379</v>
      </c>
    </row>
    <row r="107" spans="1:11" ht="18.75" x14ac:dyDescent="0.25">
      <c r="D107" s="35">
        <v>136</v>
      </c>
      <c r="E107" s="1">
        <v>138</v>
      </c>
      <c r="F107" s="52">
        <f t="shared" si="9"/>
        <v>-2</v>
      </c>
      <c r="G107" s="52">
        <f t="shared" si="10"/>
        <v>-2</v>
      </c>
      <c r="H107" s="1">
        <f t="shared" si="11"/>
        <v>4</v>
      </c>
      <c r="J107" s="1">
        <f>_xlfn.STDEV.S(D107:D110)</f>
        <v>4.0311288741492746</v>
      </c>
      <c r="K107" s="1" t="s">
        <v>83</v>
      </c>
    </row>
    <row r="108" spans="1:11" ht="18.75" x14ac:dyDescent="0.25">
      <c r="D108" s="35">
        <v>145</v>
      </c>
      <c r="E108" s="1">
        <v>138</v>
      </c>
      <c r="F108" s="52">
        <f t="shared" si="9"/>
        <v>7</v>
      </c>
      <c r="G108" s="52">
        <f t="shared" si="10"/>
        <v>7</v>
      </c>
      <c r="H108" s="1">
        <f t="shared" si="11"/>
        <v>49</v>
      </c>
    </row>
    <row r="109" spans="1:11" ht="18.75" x14ac:dyDescent="0.25">
      <c r="D109" s="35">
        <v>137</v>
      </c>
      <c r="E109" s="1">
        <v>138</v>
      </c>
      <c r="F109" s="52">
        <f t="shared" si="9"/>
        <v>-1</v>
      </c>
      <c r="G109" s="52">
        <f t="shared" si="10"/>
        <v>-1</v>
      </c>
      <c r="H109" s="1">
        <f t="shared" si="11"/>
        <v>1</v>
      </c>
    </row>
    <row r="110" spans="1:11" ht="18.75" x14ac:dyDescent="0.25">
      <c r="D110" s="35">
        <v>139</v>
      </c>
      <c r="E110" s="1">
        <v>138</v>
      </c>
      <c r="F110" s="52">
        <f t="shared" si="9"/>
        <v>1</v>
      </c>
      <c r="G110" s="52">
        <f t="shared" si="10"/>
        <v>1</v>
      </c>
      <c r="H110" s="1">
        <f t="shared" si="11"/>
        <v>1</v>
      </c>
    </row>
    <row r="111" spans="1:11" ht="18.75" x14ac:dyDescent="0.25">
      <c r="D111" s="35">
        <v>132</v>
      </c>
      <c r="E111" s="1">
        <v>138</v>
      </c>
      <c r="F111" s="52">
        <f t="shared" si="9"/>
        <v>-6</v>
      </c>
      <c r="G111" s="52">
        <f t="shared" si="10"/>
        <v>-6</v>
      </c>
      <c r="H111" s="1">
        <f t="shared" si="11"/>
        <v>36</v>
      </c>
    </row>
    <row r="112" spans="1:11" ht="18.75" x14ac:dyDescent="0.25">
      <c r="D112" s="35">
        <v>145</v>
      </c>
      <c r="E112" s="1">
        <v>138</v>
      </c>
      <c r="F112" s="52">
        <f t="shared" si="9"/>
        <v>7</v>
      </c>
      <c r="G112" s="52">
        <f t="shared" si="10"/>
        <v>7</v>
      </c>
      <c r="H112" s="1">
        <f t="shared" si="11"/>
        <v>49</v>
      </c>
    </row>
    <row r="113" spans="2:10" ht="18.75" x14ac:dyDescent="0.25">
      <c r="D113" s="45">
        <v>135</v>
      </c>
      <c r="E113" s="1">
        <v>138</v>
      </c>
      <c r="F113" s="52">
        <f t="shared" si="9"/>
        <v>-3</v>
      </c>
      <c r="G113" s="52">
        <f t="shared" si="10"/>
        <v>-3</v>
      </c>
      <c r="H113" s="1">
        <f t="shared" si="11"/>
        <v>9</v>
      </c>
    </row>
    <row r="114" spans="2:10" x14ac:dyDescent="0.25">
      <c r="D114" s="1">
        <f>AVERAGE(D102:D113)</f>
        <v>138.25</v>
      </c>
      <c r="H114" s="1">
        <f>SUM(H102:H113)</f>
        <v>543</v>
      </c>
      <c r="I114" s="1">
        <v>12</v>
      </c>
    </row>
    <row r="115" spans="2:10" x14ac:dyDescent="0.25">
      <c r="E115" s="55">
        <v>486323.9</v>
      </c>
      <c r="I115" s="1">
        <f>H114/I114</f>
        <v>45.25</v>
      </c>
    </row>
    <row r="116" spans="2:10" x14ac:dyDescent="0.25">
      <c r="C116" s="1">
        <f>35*50</f>
        <v>1750</v>
      </c>
      <c r="D116" s="40">
        <f>730/295</f>
        <v>2.4745762711864407</v>
      </c>
      <c r="E116" s="55">
        <f>AVERAGE(E115)</f>
        <v>486323.9</v>
      </c>
      <c r="I116" s="41">
        <f>SQRT(I115)</f>
        <v>6.7268120235368549</v>
      </c>
    </row>
    <row r="117" spans="2:10" x14ac:dyDescent="0.25">
      <c r="D117" s="1">
        <f>D116*50</f>
        <v>123.72881355932203</v>
      </c>
      <c r="I117" s="1">
        <v>4</v>
      </c>
      <c r="J117" s="52">
        <f>I117*I116</f>
        <v>26.90724809414742</v>
      </c>
    </row>
    <row r="119" spans="2:10" x14ac:dyDescent="0.25">
      <c r="B119" s="1">
        <v>3</v>
      </c>
      <c r="C119" s="1">
        <v>4</v>
      </c>
      <c r="D119" s="1">
        <f>B119*C119</f>
        <v>12</v>
      </c>
    </row>
    <row r="120" spans="2:10" x14ac:dyDescent="0.25">
      <c r="C120" s="1">
        <f>28*50</f>
        <v>1400</v>
      </c>
      <c r="D120" s="1">
        <f>D119+18</f>
        <v>30</v>
      </c>
    </row>
  </sheetData>
  <mergeCells count="12">
    <mergeCell ref="A93:B93"/>
    <mergeCell ref="C93:D93"/>
    <mergeCell ref="G25:K25"/>
    <mergeCell ref="A34:B34"/>
    <mergeCell ref="G41:J41"/>
    <mergeCell ref="I59:L59"/>
    <mergeCell ref="I60:J60"/>
    <mergeCell ref="A1:E1"/>
    <mergeCell ref="A2:A3"/>
    <mergeCell ref="B2:C2"/>
    <mergeCell ref="D2:E2"/>
    <mergeCell ref="A18:B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1C8E6-8EEA-42B4-8F45-F3CD336C346F}">
  <dimension ref="B1:S26"/>
  <sheetViews>
    <sheetView tabSelected="1" zoomScale="70" zoomScaleNormal="70" workbookViewId="0">
      <selection activeCell="H4" sqref="H4:H15"/>
    </sheetView>
  </sheetViews>
  <sheetFormatPr defaultRowHeight="15" x14ac:dyDescent="0.25"/>
  <cols>
    <col min="3" max="3" width="13.42578125" bestFit="1" customWidth="1"/>
    <col min="4" max="4" width="26.28515625" customWidth="1"/>
    <col min="5" max="6" width="13" customWidth="1"/>
    <col min="7" max="7" width="15.28515625" customWidth="1"/>
    <col min="8" max="9" width="7.42578125" bestFit="1" customWidth="1"/>
    <col min="10" max="10" width="2.5703125" bestFit="1" customWidth="1"/>
    <col min="11" max="11" width="14.5703125" bestFit="1" customWidth="1"/>
    <col min="12" max="12" width="17.7109375" bestFit="1" customWidth="1"/>
    <col min="16" max="16" width="18.42578125" customWidth="1"/>
    <col min="17" max="17" width="30.140625" customWidth="1"/>
  </cols>
  <sheetData>
    <row r="1" spans="2:19" x14ac:dyDescent="0.25">
      <c r="L1" s="56"/>
    </row>
    <row r="2" spans="2:19" ht="15.75" thickBot="1" x14ac:dyDescent="0.3">
      <c r="L2" s="56"/>
    </row>
    <row r="3" spans="2:19" ht="26.25" thickBot="1" x14ac:dyDescent="0.3">
      <c r="C3" s="57" t="s">
        <v>1</v>
      </c>
      <c r="D3" s="58" t="s">
        <v>84</v>
      </c>
      <c r="E3" s="58" t="s">
        <v>85</v>
      </c>
      <c r="F3" s="59" t="s">
        <v>86</v>
      </c>
    </row>
    <row r="4" spans="2:19" x14ac:dyDescent="0.25">
      <c r="B4" s="60"/>
      <c r="C4" s="65" t="s">
        <v>7</v>
      </c>
      <c r="D4" s="56">
        <v>7045</v>
      </c>
      <c r="E4" s="56">
        <v>7260</v>
      </c>
      <c r="F4" s="62">
        <v>6935</v>
      </c>
      <c r="G4">
        <f>ABS((E4-F4)/E4)</f>
        <v>4.4765840220385676E-2</v>
      </c>
      <c r="H4" s="56">
        <v>7090</v>
      </c>
      <c r="I4">
        <f>ABS((H4-F4)/H4)</f>
        <v>2.1861777150916785E-2</v>
      </c>
      <c r="L4" s="80" t="s">
        <v>1</v>
      </c>
      <c r="M4" s="82" t="s">
        <v>113</v>
      </c>
      <c r="N4" s="82"/>
      <c r="O4" s="82" t="s">
        <v>114</v>
      </c>
      <c r="P4" s="70" t="s">
        <v>115</v>
      </c>
      <c r="Q4" s="84" t="s">
        <v>117</v>
      </c>
      <c r="R4" s="63"/>
      <c r="S4" s="56"/>
    </row>
    <row r="5" spans="2:19" ht="15.75" thickBot="1" x14ac:dyDescent="0.3">
      <c r="B5" s="60"/>
      <c r="C5" s="65" t="s">
        <v>9</v>
      </c>
      <c r="D5" s="56">
        <v>6390</v>
      </c>
      <c r="E5" s="56">
        <v>6500</v>
      </c>
      <c r="F5" s="62">
        <f t="shared" ref="F5:F15" si="0">E4-D5+E5</f>
        <v>7370</v>
      </c>
      <c r="G5">
        <f t="shared" ref="G5:G15" si="1">ABS((E5-F5)/E5)</f>
        <v>0.13384615384615384</v>
      </c>
      <c r="H5" s="56">
        <v>6622</v>
      </c>
      <c r="I5">
        <f t="shared" ref="I5:I15" si="2">ABS((H5-F5)/H5)</f>
        <v>0.11295681063122924</v>
      </c>
      <c r="L5" s="81"/>
      <c r="M5" s="83"/>
      <c r="N5" s="83"/>
      <c r="O5" s="83"/>
      <c r="P5" s="71" t="s">
        <v>116</v>
      </c>
      <c r="Q5" s="85"/>
      <c r="R5" s="63"/>
      <c r="S5" s="56"/>
    </row>
    <row r="6" spans="2:19" x14ac:dyDescent="0.25">
      <c r="B6" s="60"/>
      <c r="C6" s="65" t="s">
        <v>11</v>
      </c>
      <c r="D6" s="56">
        <v>6360</v>
      </c>
      <c r="E6" s="56">
        <v>6200</v>
      </c>
      <c r="F6" s="62">
        <f t="shared" si="0"/>
        <v>6340</v>
      </c>
      <c r="G6">
        <f t="shared" si="1"/>
        <v>2.2580645161290321E-2</v>
      </c>
      <c r="H6" s="56">
        <v>6660</v>
      </c>
      <c r="I6">
        <f t="shared" si="2"/>
        <v>4.8048048048048048E-2</v>
      </c>
      <c r="J6" s="56"/>
      <c r="K6" s="56"/>
      <c r="L6" s="61" t="s">
        <v>7</v>
      </c>
      <c r="M6" s="56">
        <v>7045</v>
      </c>
      <c r="N6" s="86">
        <v>7260</v>
      </c>
      <c r="O6" s="86"/>
      <c r="P6" s="63">
        <v>6935</v>
      </c>
      <c r="Q6" s="56">
        <v>7090</v>
      </c>
      <c r="R6" s="63"/>
      <c r="S6" s="56"/>
    </row>
    <row r="7" spans="2:19" x14ac:dyDescent="0.25">
      <c r="B7" s="60"/>
      <c r="C7" s="65" t="s">
        <v>13</v>
      </c>
      <c r="D7" s="56">
        <v>7280</v>
      </c>
      <c r="E7" s="56">
        <v>7390</v>
      </c>
      <c r="F7" s="62">
        <f t="shared" si="0"/>
        <v>6310</v>
      </c>
      <c r="G7">
        <f t="shared" si="1"/>
        <v>0.14614343707713126</v>
      </c>
      <c r="H7" s="56">
        <v>7132</v>
      </c>
      <c r="I7">
        <f t="shared" si="2"/>
        <v>0.11525518788558609</v>
      </c>
      <c r="J7" s="56"/>
      <c r="K7" s="56"/>
      <c r="L7" s="61" t="s">
        <v>9</v>
      </c>
      <c r="M7" s="56">
        <v>6390</v>
      </c>
      <c r="N7" s="79">
        <v>6500</v>
      </c>
      <c r="O7" s="79"/>
      <c r="P7" s="63">
        <v>7370</v>
      </c>
      <c r="Q7" s="56">
        <v>6622</v>
      </c>
      <c r="R7" s="63"/>
      <c r="S7" s="56"/>
    </row>
    <row r="8" spans="2:19" x14ac:dyDescent="0.25">
      <c r="B8" s="60"/>
      <c r="C8" s="65" t="s">
        <v>15</v>
      </c>
      <c r="D8" s="56">
        <v>7400</v>
      </c>
      <c r="E8" s="56">
        <v>7360</v>
      </c>
      <c r="F8" s="62">
        <f t="shared" si="0"/>
        <v>7350</v>
      </c>
      <c r="G8">
        <f t="shared" si="1"/>
        <v>1.358695652173913E-3</v>
      </c>
      <c r="H8" s="56">
        <v>7130</v>
      </c>
      <c r="I8">
        <f t="shared" si="2"/>
        <v>3.0855539971949508E-2</v>
      </c>
      <c r="J8" s="56"/>
      <c r="K8" s="56"/>
      <c r="L8" s="61" t="s">
        <v>11</v>
      </c>
      <c r="M8" s="56">
        <v>6360</v>
      </c>
      <c r="N8" s="79">
        <v>6200</v>
      </c>
      <c r="O8" s="79"/>
      <c r="P8" s="63">
        <v>6340</v>
      </c>
      <c r="Q8" s="56">
        <v>6660</v>
      </c>
      <c r="R8" s="63"/>
      <c r="S8" s="56"/>
    </row>
    <row r="9" spans="2:19" x14ac:dyDescent="0.25">
      <c r="B9" s="60"/>
      <c r="C9" s="65" t="s">
        <v>16</v>
      </c>
      <c r="D9" s="56">
        <v>6800</v>
      </c>
      <c r="E9" s="56">
        <v>6900</v>
      </c>
      <c r="F9" s="62">
        <f t="shared" si="0"/>
        <v>7460</v>
      </c>
      <c r="G9">
        <f t="shared" si="1"/>
        <v>8.1159420289855067E-2</v>
      </c>
      <c r="H9" s="56">
        <v>6920</v>
      </c>
      <c r="I9">
        <f t="shared" si="2"/>
        <v>7.8034682080924858E-2</v>
      </c>
      <c r="J9" s="56"/>
      <c r="K9" s="56"/>
      <c r="L9" s="61" t="s">
        <v>13</v>
      </c>
      <c r="M9" s="56">
        <v>7280</v>
      </c>
      <c r="N9" s="79">
        <v>7390</v>
      </c>
      <c r="O9" s="79"/>
      <c r="P9" s="63">
        <v>6310</v>
      </c>
      <c r="Q9" s="56">
        <v>7132</v>
      </c>
      <c r="R9" s="63"/>
      <c r="S9" s="56"/>
    </row>
    <row r="10" spans="2:19" x14ac:dyDescent="0.25">
      <c r="B10" s="60"/>
      <c r="C10" s="65" t="s">
        <v>17</v>
      </c>
      <c r="D10" s="56">
        <v>7245</v>
      </c>
      <c r="E10" s="56">
        <v>7150</v>
      </c>
      <c r="F10" s="62">
        <f t="shared" si="0"/>
        <v>6805</v>
      </c>
      <c r="G10">
        <f t="shared" si="1"/>
        <v>4.8251748251748251E-2</v>
      </c>
      <c r="H10" s="56">
        <v>7083</v>
      </c>
      <c r="I10">
        <f t="shared" si="2"/>
        <v>3.9248905830862629E-2</v>
      </c>
      <c r="J10" s="56"/>
      <c r="K10" s="56"/>
      <c r="L10" s="61" t="s">
        <v>15</v>
      </c>
      <c r="M10" s="56">
        <v>7400</v>
      </c>
      <c r="N10" s="79">
        <v>7360</v>
      </c>
      <c r="O10" s="79"/>
      <c r="P10" s="63">
        <v>7350</v>
      </c>
      <c r="Q10" s="56">
        <v>7130</v>
      </c>
      <c r="R10" s="63"/>
      <c r="S10" s="56"/>
    </row>
    <row r="11" spans="2:19" x14ac:dyDescent="0.25">
      <c r="B11" s="60"/>
      <c r="C11" s="65" t="s">
        <v>18</v>
      </c>
      <c r="D11" s="56">
        <v>6860</v>
      </c>
      <c r="E11" s="56">
        <v>6800</v>
      </c>
      <c r="F11" s="62">
        <f t="shared" si="0"/>
        <v>7090</v>
      </c>
      <c r="G11">
        <f t="shared" si="1"/>
        <v>4.2647058823529413E-2</v>
      </c>
      <c r="H11" s="56">
        <v>6880</v>
      </c>
      <c r="I11">
        <f t="shared" si="2"/>
        <v>3.0523255813953487E-2</v>
      </c>
      <c r="J11" s="56"/>
      <c r="K11" s="56"/>
      <c r="L11" s="61" t="s">
        <v>16</v>
      </c>
      <c r="M11" s="56">
        <v>6800</v>
      </c>
      <c r="N11" s="79">
        <v>6900</v>
      </c>
      <c r="O11" s="79"/>
      <c r="P11" s="63">
        <v>7460</v>
      </c>
      <c r="Q11" s="56">
        <v>6920</v>
      </c>
      <c r="R11" s="63"/>
      <c r="S11" s="56"/>
    </row>
    <row r="12" spans="2:19" x14ac:dyDescent="0.25">
      <c r="B12" s="60"/>
      <c r="C12" s="65" t="s">
        <v>19</v>
      </c>
      <c r="D12" s="56">
        <v>6935</v>
      </c>
      <c r="E12" s="56">
        <v>7050</v>
      </c>
      <c r="F12" s="62">
        <f t="shared" si="0"/>
        <v>6915</v>
      </c>
      <c r="G12">
        <f t="shared" si="1"/>
        <v>1.9148936170212766E-2</v>
      </c>
      <c r="H12" s="56">
        <v>6992</v>
      </c>
      <c r="I12">
        <f t="shared" si="2"/>
        <v>1.1012585812356979E-2</v>
      </c>
      <c r="J12" s="56"/>
      <c r="K12" s="56"/>
      <c r="L12" s="61" t="s">
        <v>17</v>
      </c>
      <c r="M12" s="56">
        <v>7245</v>
      </c>
      <c r="N12" s="79">
        <v>7150</v>
      </c>
      <c r="O12" s="79"/>
      <c r="P12" s="63">
        <v>6805</v>
      </c>
      <c r="Q12" s="56">
        <v>7083</v>
      </c>
      <c r="R12" s="63"/>
      <c r="S12" s="56"/>
    </row>
    <row r="13" spans="2:19" x14ac:dyDescent="0.25">
      <c r="B13" s="60"/>
      <c r="C13" s="65" t="s">
        <v>20</v>
      </c>
      <c r="D13" s="56">
        <v>6610</v>
      </c>
      <c r="E13" s="56">
        <v>6500</v>
      </c>
      <c r="F13" s="62">
        <f t="shared" si="0"/>
        <v>6940</v>
      </c>
      <c r="G13">
        <f t="shared" si="1"/>
        <v>6.7692307692307691E-2</v>
      </c>
      <c r="H13" s="56">
        <v>6740</v>
      </c>
      <c r="I13">
        <f t="shared" si="2"/>
        <v>2.967359050445104E-2</v>
      </c>
      <c r="J13" s="56"/>
      <c r="K13" s="56"/>
      <c r="L13" s="61" t="s">
        <v>18</v>
      </c>
      <c r="M13" s="56">
        <v>6860</v>
      </c>
      <c r="N13" s="79">
        <v>6800</v>
      </c>
      <c r="O13" s="79"/>
      <c r="P13" s="63">
        <v>7090</v>
      </c>
      <c r="Q13" s="56">
        <v>6880</v>
      </c>
      <c r="R13" s="63"/>
      <c r="S13" s="56"/>
    </row>
    <row r="14" spans="2:19" x14ac:dyDescent="0.25">
      <c r="B14" s="60"/>
      <c r="C14" s="65" t="s">
        <v>21</v>
      </c>
      <c r="D14" s="56">
        <v>7268</v>
      </c>
      <c r="E14" s="56">
        <v>7300</v>
      </c>
      <c r="F14" s="62">
        <f t="shared" si="0"/>
        <v>6532</v>
      </c>
      <c r="G14">
        <f t="shared" si="1"/>
        <v>0.1052054794520548</v>
      </c>
      <c r="H14" s="56">
        <v>7100</v>
      </c>
      <c r="I14">
        <f t="shared" si="2"/>
        <v>0.08</v>
      </c>
      <c r="J14" s="56"/>
      <c r="K14" s="56"/>
      <c r="L14" s="61" t="s">
        <v>19</v>
      </c>
      <c r="M14" s="56">
        <v>6935</v>
      </c>
      <c r="N14" s="79">
        <v>7050</v>
      </c>
      <c r="O14" s="79"/>
      <c r="P14" s="63">
        <v>6915</v>
      </c>
      <c r="Q14" s="56">
        <v>6992</v>
      </c>
      <c r="R14" s="63"/>
      <c r="S14" s="56"/>
    </row>
    <row r="15" spans="2:19" ht="15.75" thickBot="1" x14ac:dyDescent="0.3">
      <c r="B15" s="60"/>
      <c r="C15" s="65" t="s">
        <v>22</v>
      </c>
      <c r="D15" s="64">
        <v>6760</v>
      </c>
      <c r="E15" s="64">
        <v>6700</v>
      </c>
      <c r="F15" s="62">
        <f t="shared" si="0"/>
        <v>7240</v>
      </c>
      <c r="G15">
        <f t="shared" si="1"/>
        <v>8.0597014925373134E-2</v>
      </c>
      <c r="H15" s="56">
        <v>6840</v>
      </c>
      <c r="I15">
        <f t="shared" si="2"/>
        <v>5.8479532163742687E-2</v>
      </c>
      <c r="J15" s="56"/>
      <c r="K15" s="56"/>
      <c r="L15" s="61" t="s">
        <v>20</v>
      </c>
      <c r="M15" s="56">
        <v>6610</v>
      </c>
      <c r="N15" s="79">
        <v>6500</v>
      </c>
      <c r="O15" s="79"/>
      <c r="P15" s="63">
        <v>6940</v>
      </c>
      <c r="Q15" s="56">
        <v>6740</v>
      </c>
      <c r="R15" s="63"/>
      <c r="S15" s="56"/>
    </row>
    <row r="16" spans="2:19" x14ac:dyDescent="0.25">
      <c r="C16" s="66" t="s">
        <v>89</v>
      </c>
      <c r="D16">
        <f t="shared" ref="D16:I16" si="3">SUM(D4:D15)</f>
        <v>82953</v>
      </c>
      <c r="E16" s="62">
        <f t="shared" si="3"/>
        <v>83110</v>
      </c>
      <c r="F16" s="62">
        <f t="shared" si="3"/>
        <v>83287</v>
      </c>
      <c r="G16">
        <f t="shared" si="3"/>
        <v>0.79339673756221618</v>
      </c>
      <c r="H16">
        <f t="shared" si="3"/>
        <v>83189</v>
      </c>
      <c r="I16">
        <f t="shared" si="3"/>
        <v>0.6559499158940213</v>
      </c>
      <c r="J16" s="56"/>
      <c r="K16" s="56"/>
      <c r="L16" s="61" t="s">
        <v>21</v>
      </c>
      <c r="M16" s="56">
        <v>7268</v>
      </c>
      <c r="N16" s="79">
        <v>7300</v>
      </c>
      <c r="O16" s="79"/>
      <c r="P16" s="63">
        <v>6532</v>
      </c>
      <c r="Q16" s="56">
        <v>7131</v>
      </c>
    </row>
    <row r="17" spans="3:17" x14ac:dyDescent="0.25">
      <c r="C17" s="61" t="s">
        <v>87</v>
      </c>
      <c r="D17">
        <f>MIN(D4:D15)</f>
        <v>6360</v>
      </c>
      <c r="E17">
        <f>MIN(E4:E15)</f>
        <v>6200</v>
      </c>
      <c r="F17" s="62">
        <f>MIN(F4:F15)</f>
        <v>6310</v>
      </c>
      <c r="J17" s="56"/>
      <c r="K17" s="56"/>
      <c r="L17" s="61" t="s">
        <v>22</v>
      </c>
      <c r="M17" s="56">
        <v>6760</v>
      </c>
      <c r="N17" s="79">
        <v>6700</v>
      </c>
      <c r="O17" s="79"/>
      <c r="P17" s="63">
        <v>7240</v>
      </c>
      <c r="Q17" s="56">
        <v>6840</v>
      </c>
    </row>
    <row r="18" spans="3:17" x14ac:dyDescent="0.25">
      <c r="C18" s="61" t="s">
        <v>88</v>
      </c>
      <c r="D18">
        <f>MAX(D4:D15)</f>
        <v>7400</v>
      </c>
      <c r="E18">
        <f>MAX(E4:E15)</f>
        <v>7390</v>
      </c>
      <c r="F18">
        <f>MAX(F4:F15)</f>
        <v>7460</v>
      </c>
      <c r="Q18">
        <f>SUM(Q6:Q17)</f>
        <v>83220</v>
      </c>
    </row>
    <row r="19" spans="3:17" ht="15.75" thickBot="1" x14ac:dyDescent="0.3"/>
    <row r="20" spans="3:17" ht="39" thickBot="1" x14ac:dyDescent="0.3">
      <c r="C20" s="67" t="s">
        <v>90</v>
      </c>
      <c r="D20" s="68" t="s">
        <v>91</v>
      </c>
      <c r="E20" s="68" t="s">
        <v>92</v>
      </c>
      <c r="F20" s="68" t="s">
        <v>93</v>
      </c>
      <c r="G20" s="68" t="s">
        <v>94</v>
      </c>
    </row>
    <row r="21" spans="3:17" ht="15.75" thickBot="1" x14ac:dyDescent="0.3">
      <c r="C21" s="87" t="s">
        <v>95</v>
      </c>
      <c r="D21" s="87" t="s">
        <v>84</v>
      </c>
      <c r="E21" s="87" t="s">
        <v>96</v>
      </c>
      <c r="F21" s="69" t="s">
        <v>101</v>
      </c>
      <c r="G21" s="69" t="s">
        <v>107</v>
      </c>
      <c r="H21">
        <f>I21/J21</f>
        <v>6880</v>
      </c>
      <c r="I21">
        <f>6360+7400</f>
        <v>13760</v>
      </c>
      <c r="J21">
        <v>2</v>
      </c>
    </row>
    <row r="22" spans="3:17" ht="15.75" thickBot="1" x14ac:dyDescent="0.3">
      <c r="C22" s="88"/>
      <c r="D22" s="89"/>
      <c r="E22" s="89"/>
      <c r="F22" s="69" t="s">
        <v>102</v>
      </c>
      <c r="G22" s="69" t="s">
        <v>108</v>
      </c>
    </row>
    <row r="23" spans="3:17" ht="15.75" thickBot="1" x14ac:dyDescent="0.3">
      <c r="C23" s="88"/>
      <c r="D23" s="87" t="s">
        <v>2</v>
      </c>
      <c r="E23" s="87" t="s">
        <v>97</v>
      </c>
      <c r="F23" s="69" t="s">
        <v>103</v>
      </c>
      <c r="G23" s="69" t="s">
        <v>109</v>
      </c>
      <c r="H23">
        <f>I23/J21</f>
        <v>6795</v>
      </c>
      <c r="I23">
        <f>6200+7390</f>
        <v>13590</v>
      </c>
    </row>
    <row r="24" spans="3:17" ht="15.75" thickBot="1" x14ac:dyDescent="0.3">
      <c r="C24" s="89"/>
      <c r="D24" s="89"/>
      <c r="E24" s="89"/>
      <c r="F24" s="69" t="s">
        <v>104</v>
      </c>
      <c r="G24" s="69" t="s">
        <v>110</v>
      </c>
    </row>
    <row r="25" spans="3:17" ht="15.75" thickBot="1" x14ac:dyDescent="0.3">
      <c r="C25" s="87" t="s">
        <v>98</v>
      </c>
      <c r="D25" s="87" t="s">
        <v>99</v>
      </c>
      <c r="E25" s="87" t="s">
        <v>100</v>
      </c>
      <c r="F25" s="69" t="s">
        <v>105</v>
      </c>
      <c r="G25" s="69" t="s">
        <v>111</v>
      </c>
      <c r="H25">
        <f>I25/J21</f>
        <v>6885</v>
      </c>
      <c r="I25">
        <f>6310+7460</f>
        <v>13770</v>
      </c>
    </row>
    <row r="26" spans="3:17" ht="30.75" customHeight="1" thickBot="1" x14ac:dyDescent="0.3">
      <c r="C26" s="89"/>
      <c r="D26" s="89"/>
      <c r="E26" s="89"/>
      <c r="F26" s="69" t="s">
        <v>106</v>
      </c>
      <c r="G26" s="69" t="s">
        <v>112</v>
      </c>
    </row>
  </sheetData>
  <mergeCells count="24">
    <mergeCell ref="N7:O7"/>
    <mergeCell ref="C21:C24"/>
    <mergeCell ref="D21:D22"/>
    <mergeCell ref="D23:D24"/>
    <mergeCell ref="D25:D26"/>
    <mergeCell ref="C25:C26"/>
    <mergeCell ref="E21:E22"/>
    <mergeCell ref="E23:E24"/>
    <mergeCell ref="E25:E26"/>
    <mergeCell ref="L4:L5"/>
    <mergeCell ref="M4:N5"/>
    <mergeCell ref="O4:O5"/>
    <mergeCell ref="Q4:Q5"/>
    <mergeCell ref="N6:O6"/>
    <mergeCell ref="N14:O14"/>
    <mergeCell ref="N15:O15"/>
    <mergeCell ref="N16:O16"/>
    <mergeCell ref="N17:O17"/>
    <mergeCell ref="N8:O8"/>
    <mergeCell ref="N9:O9"/>
    <mergeCell ref="N10:O10"/>
    <mergeCell ref="N11:O11"/>
    <mergeCell ref="N12:O12"/>
    <mergeCell ref="N13:O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6F2D2-573C-4064-83CB-48F35E231058}">
  <dimension ref="A1"/>
  <sheetViews>
    <sheetView workbookViewId="0">
      <selection activeCell="E3" sqref="E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job</dc:creator>
  <cp:lastModifiedBy>job</cp:lastModifiedBy>
  <dcterms:created xsi:type="dcterms:W3CDTF">2023-08-28T18:23:40Z</dcterms:created>
  <dcterms:modified xsi:type="dcterms:W3CDTF">2023-08-31T01:31:46Z</dcterms:modified>
</cp:coreProperties>
</file>